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OMAR\Desktop\"/>
    </mc:Choice>
  </mc:AlternateContent>
  <xr:revisionPtr revIDLastSave="0" documentId="8_{FD5D4C31-0D21-4F76-8603-67E90FAF3F6A}" xr6:coauthVersionLast="47" xr6:coauthVersionMax="47" xr10:uidLastSave="{00000000-0000-0000-0000-000000000000}"/>
  <bookViews>
    <workbookView xWindow="-120" yWindow="-120" windowWidth="20730" windowHeight="1116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<sst xmlns="http://schemas.openxmlformats.org/spreadsheetml/2006/main" count="514" uniqueCount="245">
  <si>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</si>
  <si>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</si>
  <si>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</si>
  <si>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</si>
  <si>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</si>
  <si>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</si>
  <si>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</si>
  <si>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</si>
  <si>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</si>
  <si>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</si>
  <si>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</si>
  <si>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</si>
  <si>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</si>
  <si>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</si>
  <si>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</si>
  <si>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</si>
  <si>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</si>
  <si>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</si>
  <si>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</si>
  <si>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</si>
  <si>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</si>
  <si>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</si>
  <si>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</si>
  <si>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</si>
  <si>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</si>
  <si>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</si>
  <si>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</si>
  <si>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</si>
  <si>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</si>
  <si>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</si>
  <si>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</si>
  <si>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</si>
  <si>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</si>
  <si>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</si>
  <si>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</si>
  <si>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</si>
  <si>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</si>
  <si>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</si>
  <si>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</si>
  <si>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</si>
  <si>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</si>
  <si>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</si>
  <si>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</si>
  <si>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</si>
  <si>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</si>
  <si>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</si>
  <si>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</si>
  <si>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</si>
  <si>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</si>
  <si>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</si>
  <si>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</si>
  <si>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</si>
  <si>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</si>
  <si>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</si>
  <si>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</si>
  <si>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</si>
  <si>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</si>
  <si>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</si>
  <si>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</si>
  <si>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</si>
  <si>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</si>
  <si>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</si>
  <si>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</si>
  <si>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</si>
  <si>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</si>
  <si>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</si>
  <si>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</si>
  <si>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</si>
  <si>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</si>
  <si>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</si>
  <si>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</si>
  <si>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</si>
  <si>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</si>
  <si>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</si>
  <si>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</si>
  <si>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</si>
  <si>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</si>
  <si>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</si>
  <si>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</si>
  <si>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</si>
  <si>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</si>
  <si>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</si>
  <si>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</si>
  <si>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</si>
  <si>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</si>
  <si>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</si>
  <si>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</si>
  <si>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</si>
  <si>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</si>
  <si>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</si>
  <si>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</si>
  <si>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</si>
  <si>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</si>
  <si>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</si>
  <si>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</si>
  <si>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</si>
  <si>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</si>
  <si>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</si>
  <si>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</si>
  <si>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</si>
  <si>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</si>
  <si>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</si>
  <si>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</si>
  <si>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</si>
  <si>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</si>
  <si>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</si>
  <si>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</si>
  <si>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</si>
  <si>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</si>
  <si>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</si>
  <si>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</si>
  <si>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</si>
  <si>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</si>
  <si>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</si>
  <si>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</si>
  <si>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</si>
  <si>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</si>
  <si>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</si>
  <si>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</si>
  <si>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</si>
  <si>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</si>
  <si>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</si>
  <si>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</si>
  <si>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</si>
  <si>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</si>
  <si>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</si>
  <si>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</si>
  <si>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</si>
  <si>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</si>
  <si>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</si>
  <si>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</si>
  <si>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</si>
  <si>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</si>
  <si>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</si>
  <si>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</si>
  <si>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</si>
  <si>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</si>
  <si>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</si>
  <si>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</si>
  <si>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</si>
  <si>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</si>
  <si>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</si>
  <si>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</si>
  <si>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</si>
  <si>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</si>
  <si>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</si>
  <si>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</si>
  <si>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</si>
  <si>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</si>
  <si>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</si>
  <si>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</si>
  <si>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</si>
  <si>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</si>
  <si>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</si>
  <si>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</si>
  <si>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</si>
  <si>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</si>
  <si>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</si>
  <si>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</si>
  <si>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</si>
  <si>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</si>
  <si>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</si>
  <si>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</si>
  <si>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</si>
  <si>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</si>
  <si>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</si>
  <si>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</si>
  <si>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</si>
  <si>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</si>
  <si>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</si>
  <si>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</si>
  <si>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</si>
  <si>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</si>
  <si>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</si>
  <si>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</si>
  <si>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</si>
  <si>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</si>
  <si>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</si>
  <si>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</si>
  <si>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</si>
  <si>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</si>
  <si>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</si>
  <si>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</si>
  <si>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</si>
  <si>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</si>
  <si>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</si>
  <si>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</si>
  <si>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</si>
  <si>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</si>
  <si>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</si>
  <si>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</si>
  <si>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EMPRESA SOCIAL DEL ESTADO  OCCIDENTE</t>
  </si>
  <si>
    <t>Primer Semestre 2022 - Evaluado por Omar Nelder Arboleda Riascos - Jefe de Control Interno</t>
  </si>
  <si>
    <t>El codigo de etica se encuentra adoptado el cual es aplicado en la ESE de occidente la politica de integridad fue  documentado y fue aprobado.</t>
  </si>
  <si>
    <t xml:space="preserve">La ESE de occidente tiene definida su misiòn institucional, de igual maera cuenta con metas y progamas proyectadas dentro del plan de desarrollo institucional y llevadas al plan de acciòn, para ejecutarlas dentro de su periodo periodo institucional. </t>
  </si>
  <si>
    <t>La estructura organica de la empresa social del estado esta definida por la Junta Directiva, un Gerente, un Jefe de control Interno,un cordinador Administrativo, un coordinador asistencial tres auxiliares administrativos</t>
  </si>
  <si>
    <t xml:space="preserve">El Manual de Funciones y de Competencias Laborales se encuentra  desactualizado, en proceso de actualizacion y adpcion </t>
  </si>
  <si>
    <t>se han documentados algunos procesos y procedimientos</t>
  </si>
  <si>
    <t>se vinculan los servidores publicos de acuerod al marco nomativo que aplique</t>
  </si>
  <si>
    <t>lse cuenta con manual de induccion, plan anual de capacitaciones y bienestra social y se capacita al talento humano de acuerdoa  sus necesidades.</t>
  </si>
  <si>
    <t xml:space="preserve">aun no se ha implementado la evaluacion de desempeño </t>
  </si>
  <si>
    <t xml:space="preserve">se realiza el proceso de desvinculacion de acuerdoa  la normatividad </t>
  </si>
  <si>
    <t>Todos los informes son presentados dentro de los tiempos establecidos por los entes de control y/o publicados en la página web institucional</t>
  </si>
  <si>
    <t xml:space="preserve">Se realiza la rendiccion de cuentas publicas a la ciudadania y se publica el informe de la misma </t>
  </si>
  <si>
    <t xml:space="preserve">se realiza identificacion de riesgos que puedan afectyar el buen funcionamiento de los procesos. </t>
  </si>
  <si>
    <t>Se tiene documentado un Mapa de Riesgos por procesos en donde se contemplan aspectos que puedan impedir el cumplimiento de los objetivos institucionales y sus acciones para mitigar su impacto dada la probabilidad de ocurrencia</t>
  </si>
  <si>
    <t xml:space="preserve">la ESE OCCIDENTE tiene identificados y evaluados los riesgos de corrupción, incluidos en el Mapa de Riesgos de Corrupción </t>
  </si>
  <si>
    <t>El Mapa de Riesgos por procesos tiene incluidos riesgos asociados a las tecnologias de la información</t>
  </si>
  <si>
    <t>No de manera permanente ni en todos los casos. El seguimiento a los controles se efectua periodicamente desde el rol del responsable del control interno.</t>
  </si>
  <si>
    <t xml:space="preserve">se realiaza reporte a quien corresponde sobre las actividades de gestion de riesgo para evitar su materilaizacion </t>
  </si>
  <si>
    <t>Los lideres de procesos identifican alguno riesgos y los dan a conocer.</t>
  </si>
  <si>
    <t xml:space="preserve">En elas reuniones de los comites institucionales se tratan temas relacionados con las estrategias para el control, su efectividad y posibles soluciones para mitigar la propabilidad de ocurrencia de eventos que afecten el cumplimiento de las metas </t>
  </si>
  <si>
    <t xml:space="preserve"> Son propuestos y revisados para proceder a la toma de decisiones </t>
  </si>
  <si>
    <t>Desde la gerencia, y con el rol asesor de control interno se adoptan las medidas que conduzcan al mejoramiento de los procesos.</t>
  </si>
  <si>
    <t>Se cuenta con la descripción de actividades a realizar para dar trato a los riesgos identificados, a sus causas y efectos</t>
  </si>
  <si>
    <t>se encuentra en proceso la implementacion de planes de contingencia para subsanar las consecuencias de los riesgos.</t>
  </si>
  <si>
    <t>se realizan planes de accion que permiten realizar acciones que puedan subsanar los riesgos cuando estos llegan a materializarse.</t>
  </si>
  <si>
    <t>Mapa de riesgos por procesos y mapa de riesgos de corrupción junto con los controles, su impacto, casusas y probabilidad de ocurrencia</t>
  </si>
  <si>
    <t>Si se cuenta. Esta públicado en la página web institucional de conformidad con la Ley 1474 de 2011 y evaluado periodicamente</t>
  </si>
  <si>
    <t xml:space="preserve">cada funcionario de la empresa es responsable de la informacion a su cargo </t>
  </si>
  <si>
    <t>Página web institucional, redes sociales, carteleras institucioanles.</t>
  </si>
  <si>
    <t>Página web institucional, redes sociales</t>
  </si>
  <si>
    <t xml:space="preserve">se da el tratameinto a dcuado a la informacion que debe ser resevada </t>
  </si>
  <si>
    <t>se tiene identificada toda la informacion</t>
  </si>
  <si>
    <t>La información necesaria para la operación de la ESE OCCIDENTE, se encuentra en proceso de identificacion y contemplada en su mayoria.</t>
  </si>
  <si>
    <t>Se cuenta con tecnologias de información y comunciación conforme la naturaleza y tamaño de la entidad</t>
  </si>
  <si>
    <t>Incluidos dentro del Plan Anual de Auditorias Internas el cual fue aprobado en el marco del Comité Institucional de Coordinación de Control Interno</t>
  </si>
  <si>
    <t>Se cuenta con un Comité Institucional tanto de Control Interno  para la implementación del Modelo y el fortalecimiento del Control  de la empresa.</t>
  </si>
  <si>
    <t>De las auditorias internas efectuadas en la vigencia anterior se suscribieron Planes de mejormiento internos por procesos, los cuales son evaluados periodicamente por la oficina de control interno.</t>
  </si>
  <si>
    <t>A la fecha la ESE OCCIDENTE  cuenta con un plan de mejora sucrito y abierto con la Contraloría general del cauca, al cual se le realiza seguimiento periodico.</t>
  </si>
  <si>
    <t>No se cuenta con un Comité Municipal de Auditoria.</t>
  </si>
  <si>
    <t xml:space="preserve">Los controles establecidos han logrado evitar que la probabiliad de ocurrencia de los riesgos identificados impidan el cumplimiento de la misión de la empresa. </t>
  </si>
  <si>
    <t>Los procesos, aunque no estan documentados, si tienen identificados algunos puntos criticos, a los cuales se les formulan acciones para mitigar su propabilidad de ocurrencia</t>
  </si>
  <si>
    <t>Estas acciones estan enfocadas a controlar la probabilidad de ocurrencia de los riesgos identificados y evitar su impacto</t>
  </si>
  <si>
    <t>Las acciones se ejecutan conforme estan planteadas. Eso hace que los riesgos esten mitigados y se reduzca su probabildiad de ocurrencia</t>
  </si>
  <si>
    <t xml:space="preserve">Al Comité de Coordinación de Control Interno son llevados aquellas situaciones presentadas e identificadas y que pueden a llegar a representar inconvenientes para el cumplimiento de la misión de la empresa </t>
  </si>
  <si>
    <t>Los cinco componenetes se encuentran operando articuladamente</t>
  </si>
  <si>
    <t>el sitema de control ionterno es efectivo ya que a traves de el se trabaja en el mejorasmiento continuo de los procesos y se realiza la evaluacion periodica de cada uno de ellos.</t>
  </si>
  <si>
    <t>Existe una instancia decisoria en el Sistema de Control Interno que funciona a nivel de la Linea Estratégica y que esta bajo la responsabilidad de la Alta Dirección, en este caso el gerente de la empresa; la primera y la segunda línea de defensa estan a cargo de los lideres de procesos administartivos y asitenciales  mientras que la última línea de defensa esta a cargo del responsable del Control Interno de  la empresa enfocandose en la prevención y evaluación del riesgo.</t>
  </si>
  <si>
    <t>DEBILIDAD:no se cuenta con un manual de procesos actualizado y la planta de personal es muy pequeña para garantizar el buen funcionamiento de la msima.
FORTALEZA: Existe voluntad y liderazgo del representante Legal para aplicar metodos de implementación del Control Interno, y desde allí asegurar que la gestión institucional se desarrolle conforme la naturaleza y misión institucional</t>
  </si>
  <si>
    <t xml:space="preserve">DEBILIDAD: no se cuenta con planes de contingencia  para subsanar las consecuemcias de los riesgos que lleguen a materializarse.
FORTALEZA: Se vienen implementando politicas de operación las cuales son aprobadas desde el Modelo Integrado de Planeación y Gestión. </t>
  </si>
  <si>
    <t xml:space="preserve">
FORTALEZA: se cuenta con un personal comprometido en la identificaion de los riesgos y atento a cualquier amenaza que pueda impedir el buen funcionamiento de la empresa.</t>
  </si>
  <si>
    <t xml:space="preserve">DEBILIDAD:se requiere realizar actualizacion de la pagina web institucional 
FORTALEZA:: se cuenta con pagina web, pagina de facebook, cartelera institucional y realizacion de perifoneos para dar a conocer las nogticias y eventos de interes de la empresa </t>
  </si>
  <si>
    <t>DEBILDIAD: La autoevaluación es un punto debil dentro de la gestión de los procesos. 
FORTALEZA: La evaluación sistematica e independiente realizada desde el control interno determina aspectos que pueden ser sujetos de control preventivo y correctivo, así como de oportunidades de mejoramiento.</t>
  </si>
  <si>
    <t>se creo el Comité de gestion y desempeño en la ESE de occidente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</si>
</sst>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7"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s>
  <fills count="18">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
      <patternFill patternType="solid">
        <fgColor rgb="FF92D050"/>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25">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36" fillId="0" borderId="9" xfId="0" applyFont="1" applyBorder="1" applyAlignment="1" applyProtection="1">
      <alignment horizontal="justify" vertical="center" wrapText="1"/>
      <protection locked="0"/>
    </xf>
    <xf numFmtId="0" fontId="36" fillId="0" borderId="80" xfId="0" applyFont="1" applyBorder="1" applyAlignment="1" applyProtection="1">
      <alignment horizontal="justify" vertical="center" wrapText="1"/>
      <protection locked="0"/>
    </xf>
    <xf numFmtId="0" fontId="36" fillId="0" borderId="79" xfId="0" applyFont="1" applyBorder="1" applyAlignment="1" applyProtection="1">
      <alignment horizontal="justify" vertical="center" wrapText="1"/>
      <protection locked="0"/>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49" fontId="48" fillId="14" borderId="2" xfId="0" applyNumberFormat="1" applyFont="1" applyFill="1" applyBorder="1" applyAlignment="1" applyProtection="1">
      <alignment horizontal="justify" vertical="center" wrapText="1"/>
      <protection locked="0"/>
    </xf>
    <xf numFmtId="0" fontId="52" fillId="12" borderId="0" xfId="0" applyFont="1" applyFill="1" applyBorder="1" applyAlignment="1">
      <alignment horizontal="center" vertical="center" wrapText="1"/>
    </xf>
    <xf numFmtId="49" fontId="48" fillId="7" borderId="2" xfId="0" applyNumberFormat="1" applyFont="1" applyFill="1" applyBorder="1" applyAlignment="1" applyProtection="1">
      <alignment horizontal="justify" vertical="center" wrapText="1"/>
      <protection locked="0"/>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48" fillId="17" borderId="2" xfId="0" applyNumberFormat="1" applyFont="1" applyFill="1" applyBorder="1" applyAlignment="1" applyProtection="1">
      <alignment horizontal="justify" vertical="center" wrapText="1"/>
      <protection locked="0"/>
    </xf>
    <xf numFmtId="49" fontId="48" fillId="17" borderId="84" xfId="0" applyNumberFormat="1" applyFont="1" applyFill="1" applyBorder="1" applyAlignment="1" applyProtection="1">
      <alignment horizontal="justify" vertical="center" wrapText="1"/>
      <protection locked="0"/>
    </xf>
    <xf numFmtId="49" fontId="48" fillId="4" borderId="2" xfId="0" applyNumberFormat="1" applyFont="1" applyFill="1" applyBorder="1" applyAlignment="1" applyProtection="1">
      <alignment horizontal="justify" vertical="center" wrapText="1"/>
      <protection locked="0"/>
    </xf>
    <xf numFmtId="49" fontId="48" fillId="4" borderId="84" xfId="0" applyNumberFormat="1" applyFont="1" applyFill="1" applyBorder="1" applyAlignment="1" applyProtection="1">
      <alignment horizontal="justify" vertical="center"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13"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8" t="s">
        <v>0</v>
      </c>
      <c r="C2" s="199"/>
      <c r="D2" s="199"/>
      <c r="E2" s="199"/>
      <c r="F2" s="199"/>
      <c r="G2" s="199"/>
      <c r="H2" s="200"/>
    </row>
    <row r="3" spans="2:8" ht="65.25" customHeight="1" x14ac:dyDescent="0.2">
      <c r="B3" s="201" t="s">
        <v>1</v>
      </c>
      <c r="C3" s="202"/>
      <c r="D3" s="202"/>
      <c r="E3" s="202"/>
      <c r="F3" s="202"/>
      <c r="G3" s="202"/>
      <c r="H3" s="203"/>
    </row>
    <row r="4" spans="2:8" ht="82.5" customHeight="1" x14ac:dyDescent="0.2">
      <c r="B4" s="201"/>
      <c r="C4" s="202"/>
      <c r="D4" s="202"/>
      <c r="E4" s="202"/>
      <c r="F4" s="202"/>
      <c r="G4" s="202"/>
      <c r="H4" s="203"/>
    </row>
    <row r="5" spans="2:8" ht="21.75" customHeight="1" x14ac:dyDescent="0.2">
      <c r="B5" s="204" t="s">
        <v>2</v>
      </c>
      <c r="C5" s="205"/>
      <c r="D5" s="205"/>
      <c r="E5" s="205"/>
      <c r="F5" s="205"/>
      <c r="G5" s="205"/>
      <c r="H5" s="206"/>
    </row>
    <row r="6" spans="2:8" ht="42" customHeight="1" x14ac:dyDescent="0.2">
      <c r="B6" s="207" t="s">
        <v>3</v>
      </c>
      <c r="C6" s="208"/>
      <c r="D6" s="208"/>
      <c r="E6" s="208"/>
      <c r="F6" s="208"/>
      <c r="G6" s="208"/>
      <c r="H6" s="209"/>
    </row>
    <row r="7" spans="2:8" ht="14.25" customHeight="1" x14ac:dyDescent="0.2">
      <c r="B7" s="207"/>
      <c r="C7" s="208"/>
      <c r="D7" s="208"/>
      <c r="E7" s="208"/>
      <c r="F7" s="208"/>
      <c r="G7" s="208"/>
      <c r="H7" s="209"/>
    </row>
    <row r="8" spans="2:8" ht="12.75" customHeight="1" thickBot="1" x14ac:dyDescent="0.25">
      <c r="B8" s="57"/>
      <c r="C8" s="51"/>
      <c r="D8" s="67"/>
      <c r="E8" s="68"/>
      <c r="F8" s="68"/>
      <c r="G8" s="65"/>
      <c r="H8" s="66"/>
    </row>
    <row r="9" spans="2:8" ht="21" customHeight="1" thickTop="1" x14ac:dyDescent="0.2">
      <c r="B9" s="57"/>
      <c r="C9" s="210" t="s">
        <v>4</v>
      </c>
      <c r="D9" s="211"/>
      <c r="E9" s="212" t="s">
        <v>5</v>
      </c>
      <c r="F9" s="213"/>
      <c r="G9" s="51"/>
      <c r="H9" s="59"/>
    </row>
    <row r="10" spans="2:8" ht="37.5" customHeight="1" x14ac:dyDescent="0.2">
      <c r="B10" s="57"/>
      <c r="C10" s="190" t="s">
        <v>6</v>
      </c>
      <c r="D10" s="191"/>
      <c r="E10" s="192" t="s">
        <v>7</v>
      </c>
      <c r="F10" s="193"/>
      <c r="G10" s="51"/>
      <c r="H10" s="59"/>
    </row>
    <row r="11" spans="2:8" ht="39.75" customHeight="1" x14ac:dyDescent="0.2">
      <c r="B11" s="57"/>
      <c r="C11" s="194" t="s">
        <v>8</v>
      </c>
      <c r="D11" s="195"/>
      <c r="E11" s="171" t="s">
        <v>9</v>
      </c>
      <c r="F11" s="172"/>
      <c r="G11" s="51"/>
      <c r="H11" s="59"/>
    </row>
    <row r="12" spans="2:8" ht="59.25" customHeight="1" x14ac:dyDescent="0.2">
      <c r="B12" s="57"/>
      <c r="C12" s="194" t="s">
        <v>10</v>
      </c>
      <c r="D12" s="195"/>
      <c r="E12" s="196" t="s">
        <v>11</v>
      </c>
      <c r="F12" s="197"/>
      <c r="G12" s="51"/>
      <c r="H12" s="59"/>
    </row>
    <row r="13" spans="2:8" ht="33.75" customHeight="1" x14ac:dyDescent="0.2">
      <c r="B13" s="57"/>
      <c r="C13" s="169" t="s">
        <v>12</v>
      </c>
      <c r="D13" s="170"/>
      <c r="E13" s="171" t="s">
        <v>13</v>
      </c>
      <c r="F13" s="172"/>
      <c r="G13" s="51"/>
      <c r="H13" s="59"/>
    </row>
    <row r="14" spans="2:8" ht="19.5" customHeight="1" x14ac:dyDescent="0.2">
      <c r="B14" s="57"/>
      <c r="C14" s="63"/>
      <c r="D14" s="63"/>
      <c r="E14" s="64"/>
      <c r="F14" s="64"/>
      <c r="G14" s="51"/>
      <c r="H14" s="59"/>
    </row>
    <row r="15" spans="2:8" ht="37.5" customHeight="1" thickBot="1" x14ac:dyDescent="0.25">
      <c r="B15" s="165" t="s">
        <v>14</v>
      </c>
      <c r="C15" s="166"/>
      <c r="D15" s="166"/>
      <c r="E15" s="166"/>
      <c r="F15" s="166"/>
      <c r="G15" s="166"/>
      <c r="H15" s="167"/>
    </row>
    <row r="16" spans="2:8" ht="27.75" customHeight="1" thickBot="1" x14ac:dyDescent="0.25">
      <c r="B16" s="57"/>
      <c r="C16" s="173" t="s">
        <v>15</v>
      </c>
      <c r="D16" s="174"/>
      <c r="E16" s="174" t="s">
        <v>16</v>
      </c>
      <c r="F16" s="185"/>
      <c r="G16" s="51"/>
      <c r="H16" s="59"/>
    </row>
    <row r="17" spans="2:8" ht="27.75" customHeight="1" x14ac:dyDescent="0.2">
      <c r="B17" s="57"/>
      <c r="C17" s="186" t="s">
        <v>17</v>
      </c>
      <c r="D17" s="187"/>
      <c r="E17" s="188" t="s">
        <v>18</v>
      </c>
      <c r="F17" s="189"/>
      <c r="G17" s="101"/>
      <c r="H17" s="59"/>
    </row>
    <row r="18" spans="2:8" ht="41.25" customHeight="1" x14ac:dyDescent="0.2">
      <c r="B18" s="57"/>
      <c r="C18" s="175" t="s">
        <v>19</v>
      </c>
      <c r="D18" s="176"/>
      <c r="E18" s="177" t="s">
        <v>20</v>
      </c>
      <c r="F18" s="178"/>
      <c r="G18" s="102"/>
      <c r="H18" s="59"/>
    </row>
    <row r="19" spans="2:8" ht="37.5" customHeight="1" thickBot="1" x14ac:dyDescent="0.25">
      <c r="B19" s="57"/>
      <c r="C19" s="179" t="s">
        <v>21</v>
      </c>
      <c r="D19" s="180"/>
      <c r="E19" s="181" t="s">
        <v>22</v>
      </c>
      <c r="F19" s="182"/>
      <c r="G19" s="102"/>
      <c r="H19" s="59"/>
    </row>
    <row r="20" spans="2:8" ht="11.25" customHeight="1" x14ac:dyDescent="0.2">
      <c r="B20" s="52"/>
      <c r="C20" s="53"/>
      <c r="D20" s="53"/>
      <c r="E20" s="53"/>
      <c r="F20" s="53"/>
      <c r="G20" s="53"/>
      <c r="H20" s="54"/>
    </row>
    <row r="21" spans="2:8" ht="14.25" customHeight="1" x14ac:dyDescent="0.2">
      <c r="B21" s="55"/>
      <c r="C21" s="183"/>
      <c r="D21" s="183"/>
      <c r="E21" s="184"/>
      <c r="F21" s="184"/>
      <c r="G21" s="184"/>
      <c r="H21" s="56"/>
    </row>
    <row r="22" spans="2:8" ht="36" customHeight="1" x14ac:dyDescent="0.2">
      <c r="B22" s="165" t="s">
        <v>23</v>
      </c>
      <c r="C22" s="166"/>
      <c r="D22" s="166"/>
      <c r="E22" s="166"/>
      <c r="F22" s="166"/>
      <c r="G22" s="166"/>
      <c r="H22" s="167"/>
    </row>
    <row r="23" spans="2:8" ht="13.5" x14ac:dyDescent="0.2">
      <c r="B23" s="57"/>
      <c r="C23" s="58"/>
      <c r="D23" s="58"/>
      <c r="E23" s="168"/>
      <c r="F23" s="168"/>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D20" zoomScale="80" zoomScaleNormal="80" workbookViewId="0">
      <selection activeCell="H16" sqref="H16"/>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14" t="s">
        <v>24</v>
      </c>
      <c r="C14" s="214"/>
      <c r="D14" s="214"/>
      <c r="E14" s="214"/>
      <c r="F14" s="214"/>
      <c r="G14" s="214"/>
      <c r="H14" s="214"/>
      <c r="I14" s="214"/>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3" t="str">
        <f>1&amp;E16</f>
        <v>1a</v>
      </c>
      <c r="B16" s="230" t="s">
        <v>31</v>
      </c>
      <c r="C16" s="240" t="s">
        <v>32</v>
      </c>
      <c r="D16" s="227" t="s">
        <v>33</v>
      </c>
      <c r="E16" s="81" t="s">
        <v>34</v>
      </c>
      <c r="F16" s="82" t="s">
        <v>35</v>
      </c>
      <c r="G16" s="112" t="s">
        <v>39</v>
      </c>
      <c r="H16" s="119" t="s">
        <v>244</v>
      </c>
      <c r="I16" s="104" t="str">
        <f>+IF(G16="Si","Mantenimiento del control",IF(G16="En proceso","Oportunidad de mejora","Deficiencia de control"))</f>
        <v>Mantenimiento del control</v>
      </c>
      <c r="J16" s="105">
        <f t="shared" ref="J16:J27" si="0">+IF(G16="Si",20,IF(G16="En proceso",10,0))</f>
        <v>20</v>
      </c>
      <c r="K16" s="105">
        <v>0.123</v>
      </c>
      <c r="L16" s="105">
        <f>+J16+K16</f>
        <v>20.123000000000001</v>
      </c>
    </row>
    <row r="17" spans="1:32" s="49" customFormat="1" ht="63" x14ac:dyDescent="0.25">
      <c r="A17" s="103" t="str">
        <f t="shared" ref="A17:A27" si="1">1&amp;E17</f>
        <v>1b</v>
      </c>
      <c r="B17" s="231"/>
      <c r="C17" s="241"/>
      <c r="D17" s="228"/>
      <c r="E17" s="83" t="s">
        <v>37</v>
      </c>
      <c r="F17" s="84" t="s">
        <v>38</v>
      </c>
      <c r="G17" s="113" t="s">
        <v>39</v>
      </c>
      <c r="H17" s="114" t="s">
        <v>193</v>
      </c>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64.5" customHeight="1" x14ac:dyDescent="0.25">
      <c r="A18" s="103" t="str">
        <f t="shared" si="1"/>
        <v>1c</v>
      </c>
      <c r="B18" s="231"/>
      <c r="C18" s="241"/>
      <c r="D18" s="228"/>
      <c r="E18" s="83" t="s">
        <v>40</v>
      </c>
      <c r="F18" s="85" t="s">
        <v>41</v>
      </c>
      <c r="G18" s="115" t="s">
        <v>39</v>
      </c>
      <c r="H18" s="116" t="s">
        <v>194</v>
      </c>
      <c r="I18" s="108" t="str">
        <f t="shared" si="2"/>
        <v>Mantenimiento del control</v>
      </c>
      <c r="J18" s="107">
        <f t="shared" si="0"/>
        <v>20</v>
      </c>
      <c r="K18" s="105">
        <v>0.12345</v>
      </c>
      <c r="L18" s="105">
        <f t="shared" si="3"/>
        <v>20.123449999999998</v>
      </c>
    </row>
    <row r="19" spans="1:32" s="49" customFormat="1" ht="37.5" customHeight="1" x14ac:dyDescent="0.25">
      <c r="A19" s="103" t="str">
        <f t="shared" si="1"/>
        <v>1d</v>
      </c>
      <c r="B19" s="231"/>
      <c r="C19" s="241"/>
      <c r="D19" s="228"/>
      <c r="E19" s="83" t="s">
        <v>42</v>
      </c>
      <c r="F19" s="85" t="s">
        <v>43</v>
      </c>
      <c r="G19" s="115" t="s">
        <v>39</v>
      </c>
      <c r="H19" s="116" t="s">
        <v>195</v>
      </c>
      <c r="I19" s="108" t="str">
        <f t="shared" si="2"/>
        <v>Mantenimiento del control</v>
      </c>
      <c r="J19" s="107">
        <f t="shared" si="0"/>
        <v>20</v>
      </c>
      <c r="K19" s="105">
        <v>0.123456</v>
      </c>
      <c r="L19" s="105">
        <f t="shared" si="3"/>
        <v>20.123456000000001</v>
      </c>
    </row>
    <row r="20" spans="1:32" s="49" customFormat="1" ht="37.5" customHeight="1" x14ac:dyDescent="0.25">
      <c r="A20" s="103" t="str">
        <f t="shared" si="1"/>
        <v>1e</v>
      </c>
      <c r="B20" s="231"/>
      <c r="C20" s="241"/>
      <c r="D20" s="228"/>
      <c r="E20" s="83" t="s">
        <v>44</v>
      </c>
      <c r="F20" s="85" t="s">
        <v>45</v>
      </c>
      <c r="G20" s="115" t="s">
        <v>76</v>
      </c>
      <c r="H20" s="162" t="s">
        <v>196</v>
      </c>
      <c r="I20" s="108" t="str">
        <f t="shared" si="2"/>
        <v>Oportunidad de mejora</v>
      </c>
      <c r="J20" s="107">
        <f t="shared" si="0"/>
        <v>10</v>
      </c>
      <c r="K20" s="105">
        <v>0.12345678</v>
      </c>
      <c r="L20" s="105">
        <f t="shared" si="3"/>
        <v>10.12345678</v>
      </c>
    </row>
    <row r="21" spans="1:32" s="49" customFormat="1" ht="63.75" customHeight="1" x14ac:dyDescent="0.25">
      <c r="A21" s="103" t="str">
        <f t="shared" si="1"/>
        <v>1f</v>
      </c>
      <c r="B21" s="231"/>
      <c r="C21" s="241"/>
      <c r="D21" s="228"/>
      <c r="E21" s="83" t="s">
        <v>46</v>
      </c>
      <c r="F21" s="85" t="s">
        <v>47</v>
      </c>
      <c r="G21" s="115" t="s">
        <v>76</v>
      </c>
      <c r="H21" s="162" t="s">
        <v>197</v>
      </c>
      <c r="I21" s="108" t="str">
        <f t="shared" si="2"/>
        <v>Oportunidad de mejora</v>
      </c>
      <c r="J21" s="107">
        <f t="shared" si="0"/>
        <v>10</v>
      </c>
      <c r="K21" s="105">
        <v>0.123456789</v>
      </c>
      <c r="L21" s="105">
        <f t="shared" si="3"/>
        <v>10.123456789</v>
      </c>
    </row>
    <row r="22" spans="1:32" s="49" customFormat="1" ht="65.25" customHeight="1" x14ac:dyDescent="0.25">
      <c r="A22" s="103" t="str">
        <f t="shared" si="1"/>
        <v>1g</v>
      </c>
      <c r="B22" s="231"/>
      <c r="C22" s="241"/>
      <c r="D22" s="228"/>
      <c r="E22" s="83" t="s">
        <v>48</v>
      </c>
      <c r="F22" s="85" t="s">
        <v>49</v>
      </c>
      <c r="G22" s="115" t="s">
        <v>39</v>
      </c>
      <c r="H22" s="162" t="s">
        <v>198</v>
      </c>
      <c r="I22" s="108" t="str">
        <f t="shared" si="2"/>
        <v>Mantenimiento del control</v>
      </c>
      <c r="J22" s="107">
        <f t="shared" si="0"/>
        <v>20</v>
      </c>
      <c r="K22" s="105">
        <v>0.12345678910000001</v>
      </c>
      <c r="L22" s="105">
        <f t="shared" si="3"/>
        <v>20.1234567891</v>
      </c>
    </row>
    <row r="23" spans="1:32" s="49" customFormat="1" ht="62.25" customHeight="1" x14ac:dyDescent="0.25">
      <c r="A23" s="103" t="str">
        <f t="shared" si="1"/>
        <v>1h</v>
      </c>
      <c r="B23" s="231"/>
      <c r="C23" s="241"/>
      <c r="D23" s="228"/>
      <c r="E23" s="83" t="s">
        <v>50</v>
      </c>
      <c r="F23" s="85" t="s">
        <v>51</v>
      </c>
      <c r="G23" s="115" t="s">
        <v>39</v>
      </c>
      <c r="H23" s="162" t="s">
        <v>199</v>
      </c>
      <c r="I23" s="108" t="str">
        <f t="shared" si="2"/>
        <v>Mantenimiento del control</v>
      </c>
      <c r="J23" s="107">
        <f t="shared" si="0"/>
        <v>20</v>
      </c>
      <c r="K23" s="105">
        <v>0.12345678911999999</v>
      </c>
      <c r="L23" s="105">
        <f t="shared" si="3"/>
        <v>20.123456789119999</v>
      </c>
    </row>
    <row r="24" spans="1:32" s="49" customFormat="1" ht="57.75" customHeight="1" x14ac:dyDescent="0.25">
      <c r="A24" s="103" t="str">
        <f t="shared" si="1"/>
        <v>1i</v>
      </c>
      <c r="B24" s="231"/>
      <c r="C24" s="241"/>
      <c r="D24" s="228"/>
      <c r="E24" s="83" t="s">
        <v>52</v>
      </c>
      <c r="F24" s="85" t="s">
        <v>53</v>
      </c>
      <c r="G24" s="115" t="s">
        <v>36</v>
      </c>
      <c r="H24" s="162" t="s">
        <v>200</v>
      </c>
      <c r="I24" s="108" t="str">
        <f t="shared" si="2"/>
        <v>Deficiencia de control</v>
      </c>
      <c r="J24" s="107">
        <f t="shared" si="0"/>
        <v>0</v>
      </c>
      <c r="K24" s="105">
        <v>0.123456789123</v>
      </c>
      <c r="L24" s="105">
        <f t="shared" si="3"/>
        <v>0.123456789123</v>
      </c>
    </row>
    <row r="25" spans="1:32" s="49" customFormat="1" ht="52.5" customHeight="1" x14ac:dyDescent="0.25">
      <c r="A25" s="103" t="str">
        <f t="shared" si="1"/>
        <v>1j</v>
      </c>
      <c r="B25" s="231"/>
      <c r="C25" s="241"/>
      <c r="D25" s="228"/>
      <c r="E25" s="83" t="s">
        <v>54</v>
      </c>
      <c r="F25" s="85" t="s">
        <v>55</v>
      </c>
      <c r="G25" s="115" t="s">
        <v>39</v>
      </c>
      <c r="H25" s="162" t="s">
        <v>201</v>
      </c>
      <c r="I25" s="108" t="str">
        <f t="shared" si="2"/>
        <v>Mantenimiento del control</v>
      </c>
      <c r="J25" s="107">
        <f t="shared" si="0"/>
        <v>20</v>
      </c>
      <c r="K25" s="105">
        <v>0.1234567891234</v>
      </c>
      <c r="L25" s="105">
        <f t="shared" si="3"/>
        <v>20.123456789123399</v>
      </c>
    </row>
    <row r="26" spans="1:32" s="49" customFormat="1" ht="42" customHeight="1" x14ac:dyDescent="0.25">
      <c r="A26" s="103" t="str">
        <f t="shared" si="1"/>
        <v>1k</v>
      </c>
      <c r="B26" s="231"/>
      <c r="C26" s="241"/>
      <c r="D26" s="228"/>
      <c r="E26" s="83" t="s">
        <v>56</v>
      </c>
      <c r="F26" s="85" t="s">
        <v>57</v>
      </c>
      <c r="G26" s="115" t="s">
        <v>39</v>
      </c>
      <c r="H26" s="162" t="s">
        <v>203</v>
      </c>
      <c r="I26" s="108" t="str">
        <f t="shared" si="2"/>
        <v>Mantenimiento del control</v>
      </c>
      <c r="J26" s="107">
        <f t="shared" si="0"/>
        <v>20</v>
      </c>
      <c r="K26" s="105">
        <v>0.12345678912345</v>
      </c>
      <c r="L26" s="105">
        <f t="shared" si="3"/>
        <v>20.123456789123448</v>
      </c>
    </row>
    <row r="27" spans="1:32" s="49" customFormat="1" ht="50.25" thickBot="1" x14ac:dyDescent="0.3">
      <c r="A27" s="103" t="str">
        <f t="shared" si="1"/>
        <v>1l</v>
      </c>
      <c r="B27" s="232"/>
      <c r="C27" s="242"/>
      <c r="D27" s="229"/>
      <c r="E27" s="86" t="s">
        <v>58</v>
      </c>
      <c r="F27" s="87" t="s">
        <v>59</v>
      </c>
      <c r="G27" s="117" t="s">
        <v>39</v>
      </c>
      <c r="H27" s="163" t="s">
        <v>202</v>
      </c>
      <c r="I27" s="109" t="str">
        <f t="shared" si="2"/>
        <v>Mantenimiento del control</v>
      </c>
      <c r="J27" s="107">
        <f t="shared" si="0"/>
        <v>20</v>
      </c>
      <c r="K27" s="105">
        <v>0.12345678912345601</v>
      </c>
      <c r="L27" s="105">
        <f t="shared" si="3"/>
        <v>20.123456789123455</v>
      </c>
    </row>
    <row r="28" spans="1:32" s="49" customFormat="1" ht="44.25" customHeight="1" x14ac:dyDescent="0.25">
      <c r="A28" s="103" t="str">
        <f>2&amp;E28</f>
        <v>2a</v>
      </c>
      <c r="B28" s="233" t="s">
        <v>60</v>
      </c>
      <c r="C28" s="243" t="s">
        <v>61</v>
      </c>
      <c r="D28" s="236" t="s">
        <v>62</v>
      </c>
      <c r="E28" s="81" t="s">
        <v>34</v>
      </c>
      <c r="F28" s="82" t="s">
        <v>63</v>
      </c>
      <c r="G28" s="112" t="s">
        <v>39</v>
      </c>
      <c r="H28" s="164" t="s">
        <v>204</v>
      </c>
      <c r="I28" s="104" t="str">
        <f t="shared" si="2"/>
        <v>Mantenimiento del control</v>
      </c>
      <c r="J28" s="105">
        <f>+IF(G28="Si",40,IF(G28="En proceso",30,20))</f>
        <v>40</v>
      </c>
      <c r="K28" s="105">
        <v>0.23</v>
      </c>
      <c r="L28" s="105">
        <f t="shared" si="3"/>
        <v>40.229999999999997</v>
      </c>
    </row>
    <row r="29" spans="1:32" s="49" customFormat="1" ht="82.5" x14ac:dyDescent="0.25">
      <c r="A29" s="103" t="str">
        <f t="shared" ref="A29:A31" si="4">2&amp;E29</f>
        <v>2b</v>
      </c>
      <c r="B29" s="234"/>
      <c r="C29" s="244"/>
      <c r="D29" s="237"/>
      <c r="E29" s="83" t="s">
        <v>37</v>
      </c>
      <c r="F29" s="85" t="s">
        <v>64</v>
      </c>
      <c r="G29" s="115" t="s">
        <v>39</v>
      </c>
      <c r="H29" s="162" t="s">
        <v>205</v>
      </c>
      <c r="I29" s="108" t="str">
        <f t="shared" si="2"/>
        <v>Mantenimiento del control</v>
      </c>
      <c r="J29" s="105">
        <f>+IF(G29="Si",40,IF(G29="En proceso",30,20))</f>
        <v>40</v>
      </c>
      <c r="K29" s="105">
        <v>0.23400000000000001</v>
      </c>
      <c r="L29" s="105">
        <f t="shared" si="3"/>
        <v>40.234000000000002</v>
      </c>
    </row>
    <row r="30" spans="1:32" s="49" customFormat="1" ht="49.5" x14ac:dyDescent="0.25">
      <c r="A30" s="103" t="str">
        <f t="shared" si="4"/>
        <v>2c</v>
      </c>
      <c r="B30" s="234"/>
      <c r="C30" s="244"/>
      <c r="D30" s="237"/>
      <c r="E30" s="83" t="s">
        <v>40</v>
      </c>
      <c r="F30" s="85" t="s">
        <v>65</v>
      </c>
      <c r="G30" s="115" t="s">
        <v>39</v>
      </c>
      <c r="H30" s="162" t="s">
        <v>206</v>
      </c>
      <c r="I30" s="108" t="str">
        <f t="shared" si="2"/>
        <v>Mantenimiento del control</v>
      </c>
      <c r="J30" s="105">
        <f>+IF(G30="Si",40,IF(G30="En proceso",30,20))</f>
        <v>40</v>
      </c>
      <c r="K30" s="105">
        <v>0.23449999999999999</v>
      </c>
      <c r="L30" s="105">
        <f t="shared" si="3"/>
        <v>40.234499999999997</v>
      </c>
    </row>
    <row r="31" spans="1:32" s="49" customFormat="1" ht="63.75" thickBot="1" x14ac:dyDescent="0.3">
      <c r="A31" s="103" t="str">
        <f t="shared" si="4"/>
        <v>2d</v>
      </c>
      <c r="B31" s="235"/>
      <c r="C31" s="245"/>
      <c r="D31" s="238"/>
      <c r="E31" s="86" t="s">
        <v>42</v>
      </c>
      <c r="F31" s="87" t="s">
        <v>66</v>
      </c>
      <c r="G31" s="117" t="s">
        <v>39</v>
      </c>
      <c r="H31" s="163" t="s">
        <v>207</v>
      </c>
      <c r="I31" s="109" t="str">
        <f t="shared" si="2"/>
        <v>Mantenimiento del control</v>
      </c>
      <c r="J31" s="105">
        <f>+IF(G31="Si",40,IF(G31="En proceso",30,20))</f>
        <v>40</v>
      </c>
      <c r="K31" s="105">
        <v>0.23455999999999999</v>
      </c>
      <c r="L31" s="105">
        <f t="shared" si="3"/>
        <v>40.234560000000002</v>
      </c>
    </row>
    <row r="32" spans="1:32" s="49" customFormat="1" ht="49.5" customHeight="1" x14ac:dyDescent="0.25">
      <c r="A32" s="103" t="str">
        <f>3&amp;E32</f>
        <v>3a</v>
      </c>
      <c r="B32" s="255" t="s">
        <v>67</v>
      </c>
      <c r="C32" s="255" t="s">
        <v>61</v>
      </c>
      <c r="D32" s="256" t="s">
        <v>68</v>
      </c>
      <c r="E32" s="88" t="s">
        <v>34</v>
      </c>
      <c r="F32" s="85" t="s">
        <v>69</v>
      </c>
      <c r="G32" s="115" t="s">
        <v>76</v>
      </c>
      <c r="H32" s="162" t="s">
        <v>208</v>
      </c>
      <c r="I32" s="108" t="str">
        <f t="shared" si="2"/>
        <v>Oportunidad de mejora</v>
      </c>
      <c r="J32" s="105">
        <f t="shared" ref="J32:J37" si="5">+IF(G32="Si",40,IF(G32="En proceso",30,20))</f>
        <v>30</v>
      </c>
      <c r="K32" s="110">
        <v>0.234567</v>
      </c>
      <c r="L32" s="105">
        <f t="shared" ref="L32:L37" si="6">+J32+K32</f>
        <v>30.234566999999998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103" t="str">
        <f t="shared" ref="A33:A34" si="7">3&amp;E33</f>
        <v>3b</v>
      </c>
      <c r="B33" s="255"/>
      <c r="C33" s="255"/>
      <c r="D33" s="256"/>
      <c r="E33" s="88" t="s">
        <v>37</v>
      </c>
      <c r="F33" s="85" t="s">
        <v>70</v>
      </c>
      <c r="G33" s="115" t="s">
        <v>39</v>
      </c>
      <c r="H33" s="162" t="s">
        <v>209</v>
      </c>
      <c r="I33" s="108" t="str">
        <f t="shared" si="2"/>
        <v>Mantenimiento del control</v>
      </c>
      <c r="J33" s="105">
        <f t="shared" si="5"/>
        <v>40</v>
      </c>
      <c r="K33" s="110">
        <v>0.23456779999999999</v>
      </c>
      <c r="L33" s="105">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103" t="str">
        <f t="shared" si="7"/>
        <v>3c</v>
      </c>
      <c r="B34" s="255"/>
      <c r="C34" s="255"/>
      <c r="D34" s="256"/>
      <c r="E34" s="88" t="s">
        <v>40</v>
      </c>
      <c r="F34" s="85" t="s">
        <v>71</v>
      </c>
      <c r="G34" s="115" t="s">
        <v>76</v>
      </c>
      <c r="H34" s="162" t="s">
        <v>210</v>
      </c>
      <c r="I34" s="108" t="str">
        <f t="shared" si="2"/>
        <v>Oportunidad de mejora</v>
      </c>
      <c r="J34" s="105">
        <f t="shared" si="5"/>
        <v>30</v>
      </c>
      <c r="K34" s="110">
        <v>0.23456789</v>
      </c>
      <c r="L34" s="105">
        <f t="shared" si="6"/>
        <v>30.234567890000001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57" t="s">
        <v>72</v>
      </c>
      <c r="C35" s="244" t="s">
        <v>61</v>
      </c>
      <c r="D35" s="237" t="s">
        <v>73</v>
      </c>
      <c r="E35" s="81" t="s">
        <v>34</v>
      </c>
      <c r="F35" s="82" t="s">
        <v>74</v>
      </c>
      <c r="G35" s="112" t="s">
        <v>39</v>
      </c>
      <c r="H35" s="164" t="s">
        <v>211</v>
      </c>
      <c r="I35" s="104" t="str">
        <f t="shared" si="2"/>
        <v>Mantenimiento del control</v>
      </c>
      <c r="J35" s="105">
        <f t="shared" si="5"/>
        <v>40</v>
      </c>
      <c r="K35" s="110">
        <v>0.23456789119999999</v>
      </c>
      <c r="L35" s="105">
        <f t="shared" si="6"/>
        <v>40.234567891200001</v>
      </c>
      <c r="M35" s="48"/>
      <c r="N35" s="48"/>
      <c r="O35" s="48"/>
      <c r="P35" s="48"/>
      <c r="Q35" s="48"/>
    </row>
    <row r="36" spans="1:32" s="49" customFormat="1" ht="57.75" customHeight="1" x14ac:dyDescent="0.25">
      <c r="A36" s="103" t="str">
        <f t="shared" ref="A36:A37" si="8">4&amp;E36</f>
        <v>4b</v>
      </c>
      <c r="B36" s="257"/>
      <c r="C36" s="244"/>
      <c r="D36" s="237"/>
      <c r="E36" s="83" t="s">
        <v>37</v>
      </c>
      <c r="F36" s="85" t="s">
        <v>75</v>
      </c>
      <c r="G36" s="115" t="s">
        <v>76</v>
      </c>
      <c r="H36" s="162" t="s">
        <v>212</v>
      </c>
      <c r="I36" s="108" t="str">
        <f t="shared" si="2"/>
        <v>Oportunidad de mejora</v>
      </c>
      <c r="J36" s="105">
        <f t="shared" si="5"/>
        <v>30</v>
      </c>
      <c r="K36" s="110">
        <v>0.23456789122999999</v>
      </c>
      <c r="L36" s="105">
        <f t="shared" si="6"/>
        <v>30.23456789123</v>
      </c>
      <c r="M36" s="48"/>
      <c r="N36" s="48"/>
      <c r="O36" s="48"/>
      <c r="P36" s="48"/>
      <c r="Q36" s="48"/>
    </row>
    <row r="37" spans="1:32" s="49" customFormat="1" ht="49.5" customHeight="1" thickBot="1" x14ac:dyDescent="0.3">
      <c r="A37" s="103" t="str">
        <f t="shared" si="8"/>
        <v>4c</v>
      </c>
      <c r="B37" s="257"/>
      <c r="C37" s="244"/>
      <c r="D37" s="237"/>
      <c r="E37" s="83" t="s">
        <v>40</v>
      </c>
      <c r="F37" s="85" t="s">
        <v>77</v>
      </c>
      <c r="G37" s="115" t="s">
        <v>76</v>
      </c>
      <c r="H37" s="162" t="s">
        <v>213</v>
      </c>
      <c r="I37" s="108" t="str">
        <f t="shared" si="2"/>
        <v>Oportunidad de mejora</v>
      </c>
      <c r="J37" s="105">
        <f t="shared" si="5"/>
        <v>30</v>
      </c>
      <c r="K37" s="110">
        <v>0.23456789123399999</v>
      </c>
      <c r="L37" s="105">
        <f t="shared" si="6"/>
        <v>30.234567891234001</v>
      </c>
      <c r="M37" s="48"/>
      <c r="N37" s="48"/>
      <c r="O37" s="48"/>
      <c r="P37" s="48"/>
      <c r="Q37" s="48"/>
    </row>
    <row r="38" spans="1:32" s="49" customFormat="1" ht="85.5" customHeight="1" x14ac:dyDescent="0.25">
      <c r="A38" s="103" t="str">
        <f>5&amp;E38</f>
        <v>5a</v>
      </c>
      <c r="B38" s="258" t="s">
        <v>78</v>
      </c>
      <c r="C38" s="246" t="s">
        <v>79</v>
      </c>
      <c r="D38" s="261" t="s">
        <v>80</v>
      </c>
      <c r="E38" s="81" t="s">
        <v>34</v>
      </c>
      <c r="F38" s="89" t="s">
        <v>81</v>
      </c>
      <c r="G38" s="118" t="s">
        <v>76</v>
      </c>
      <c r="H38" s="164" t="s">
        <v>214</v>
      </c>
      <c r="I38" s="111" t="str">
        <f t="shared" si="2"/>
        <v>Oportunidad de mejora</v>
      </c>
      <c r="J38" s="105">
        <f>+IF(G38="Si",60,IF(G38="En proceso",50,40))</f>
        <v>50</v>
      </c>
      <c r="K38" s="105">
        <v>0.31</v>
      </c>
      <c r="L38" s="105">
        <f t="shared" si="3"/>
        <v>50.31</v>
      </c>
    </row>
    <row r="39" spans="1:32" s="49" customFormat="1" ht="63" x14ac:dyDescent="0.25">
      <c r="A39" s="103" t="str">
        <f t="shared" ref="A39:A42" si="9">5&amp;E39</f>
        <v>5b</v>
      </c>
      <c r="B39" s="259"/>
      <c r="C39" s="247"/>
      <c r="D39" s="262"/>
      <c r="E39" s="83" t="s">
        <v>37</v>
      </c>
      <c r="F39" s="85" t="s">
        <v>82</v>
      </c>
      <c r="G39" s="115" t="s">
        <v>76</v>
      </c>
      <c r="H39" s="162" t="s">
        <v>215</v>
      </c>
      <c r="I39" s="108" t="str">
        <f t="shared" si="2"/>
        <v>Oportunidad de mejora</v>
      </c>
      <c r="J39" s="105">
        <f>+IF(G39="Si",60,IF(G39="En proceso",50,40))</f>
        <v>50</v>
      </c>
      <c r="K39" s="105">
        <v>0.32300000000000001</v>
      </c>
      <c r="L39" s="105">
        <f t="shared" si="3"/>
        <v>50.323</v>
      </c>
    </row>
    <row r="40" spans="1:32" s="49" customFormat="1" ht="49.5" x14ac:dyDescent="0.25">
      <c r="A40" s="103" t="str">
        <f t="shared" si="9"/>
        <v>5c</v>
      </c>
      <c r="B40" s="259"/>
      <c r="C40" s="247"/>
      <c r="D40" s="262"/>
      <c r="E40" s="83" t="s">
        <v>40</v>
      </c>
      <c r="F40" s="85" t="s">
        <v>83</v>
      </c>
      <c r="G40" s="115" t="s">
        <v>39</v>
      </c>
      <c r="H40" s="162" t="s">
        <v>216</v>
      </c>
      <c r="I40" s="108" t="str">
        <f t="shared" si="2"/>
        <v>Mantenimiento del control</v>
      </c>
      <c r="J40" s="105">
        <f>+IF(G40="Si",60,IF(G40="En proceso",50,40))</f>
        <v>60</v>
      </c>
      <c r="K40" s="105">
        <v>0.32400000000000001</v>
      </c>
      <c r="L40" s="105">
        <f t="shared" si="3"/>
        <v>60.323999999999998</v>
      </c>
    </row>
    <row r="41" spans="1:32" s="49" customFormat="1" ht="94.5" x14ac:dyDescent="0.25">
      <c r="A41" s="103" t="str">
        <f t="shared" si="9"/>
        <v>5d</v>
      </c>
      <c r="B41" s="259"/>
      <c r="C41" s="247"/>
      <c r="D41" s="262"/>
      <c r="E41" s="83" t="s">
        <v>42</v>
      </c>
      <c r="F41" s="85" t="s">
        <v>84</v>
      </c>
      <c r="G41" s="115" t="s">
        <v>39</v>
      </c>
      <c r="H41" s="162" t="s">
        <v>217</v>
      </c>
      <c r="I41" s="108" t="str">
        <f t="shared" si="2"/>
        <v>Mantenimiento del control</v>
      </c>
      <c r="J41" s="105">
        <f>+IF(G41="Si",60,IF(G41="En proceso",50,40))</f>
        <v>60</v>
      </c>
      <c r="K41" s="105">
        <v>0.32500000000000001</v>
      </c>
      <c r="L41" s="105">
        <f t="shared" si="3"/>
        <v>60.325000000000003</v>
      </c>
    </row>
    <row r="42" spans="1:32" s="49" customFormat="1" ht="50.25" thickBot="1" x14ac:dyDescent="0.3">
      <c r="A42" s="103" t="str">
        <f t="shared" si="9"/>
        <v>5e</v>
      </c>
      <c r="B42" s="260"/>
      <c r="C42" s="248"/>
      <c r="D42" s="263"/>
      <c r="E42" s="86" t="s">
        <v>44</v>
      </c>
      <c r="F42" s="87" t="s">
        <v>85</v>
      </c>
      <c r="G42" s="117" t="s">
        <v>39</v>
      </c>
      <c r="H42" s="163" t="s">
        <v>218</v>
      </c>
      <c r="I42" s="109" t="str">
        <f t="shared" si="2"/>
        <v>Mantenimiento del control</v>
      </c>
      <c r="J42" s="105">
        <f>+IF(G42="Si",60,IF(G42="En proceso",50,40))</f>
        <v>60</v>
      </c>
      <c r="K42" s="105">
        <v>0.32600000000000001</v>
      </c>
      <c r="L42" s="105">
        <f t="shared" si="3"/>
        <v>60.326000000000001</v>
      </c>
    </row>
    <row r="43" spans="1:32" s="49" customFormat="1" ht="40.5" customHeight="1" x14ac:dyDescent="0.25">
      <c r="A43" s="103" t="str">
        <f>6&amp;E43</f>
        <v>6a</v>
      </c>
      <c r="B43" s="218" t="s">
        <v>86</v>
      </c>
      <c r="C43" s="249" t="s">
        <v>87</v>
      </c>
      <c r="D43" s="215" t="s">
        <v>88</v>
      </c>
      <c r="E43" s="81" t="s">
        <v>34</v>
      </c>
      <c r="F43" s="82" t="s">
        <v>89</v>
      </c>
      <c r="G43" s="112" t="s">
        <v>39</v>
      </c>
      <c r="H43" s="164" t="s">
        <v>219</v>
      </c>
      <c r="I43" s="104" t="str">
        <f t="shared" si="2"/>
        <v>Mantenimiento del control</v>
      </c>
      <c r="J43" s="105">
        <f t="shared" ref="J43:J49" si="10">+IF(G43="Si",80,IF(G43="En proceso",70,60))</f>
        <v>80</v>
      </c>
      <c r="K43" s="105">
        <v>0.41199999999999998</v>
      </c>
      <c r="L43" s="105">
        <f t="shared" si="3"/>
        <v>80.412000000000006</v>
      </c>
    </row>
    <row r="44" spans="1:32" s="49" customFormat="1" ht="33" customHeight="1" x14ac:dyDescent="0.25">
      <c r="A44" s="103" t="str">
        <f t="shared" ref="A44:A49" si="11">6&amp;E44</f>
        <v>6b</v>
      </c>
      <c r="B44" s="219"/>
      <c r="C44" s="250"/>
      <c r="D44" s="216"/>
      <c r="E44" s="83" t="s">
        <v>37</v>
      </c>
      <c r="F44" s="85" t="s">
        <v>90</v>
      </c>
      <c r="G44" s="115" t="s">
        <v>39</v>
      </c>
      <c r="H44" s="162" t="s">
        <v>220</v>
      </c>
      <c r="I44" s="108" t="str">
        <f t="shared" si="2"/>
        <v>Mantenimiento del control</v>
      </c>
      <c r="J44" s="105">
        <f t="shared" si="10"/>
        <v>80</v>
      </c>
      <c r="K44" s="105">
        <v>0.4123</v>
      </c>
      <c r="L44" s="105">
        <f t="shared" si="3"/>
        <v>80.412300000000002</v>
      </c>
    </row>
    <row r="45" spans="1:32" s="49" customFormat="1" ht="47.25" x14ac:dyDescent="0.25">
      <c r="A45" s="103" t="str">
        <f t="shared" si="11"/>
        <v>6c</v>
      </c>
      <c r="B45" s="219"/>
      <c r="C45" s="250"/>
      <c r="D45" s="216"/>
      <c r="E45" s="83" t="s">
        <v>40</v>
      </c>
      <c r="F45" s="85" t="s">
        <v>91</v>
      </c>
      <c r="G45" s="115" t="s">
        <v>39</v>
      </c>
      <c r="H45" s="162" t="s">
        <v>221</v>
      </c>
      <c r="I45" s="108" t="str">
        <f t="shared" si="2"/>
        <v>Mantenimiento del control</v>
      </c>
      <c r="J45" s="105">
        <f t="shared" si="10"/>
        <v>80</v>
      </c>
      <c r="K45" s="105">
        <v>0.41233999999999998</v>
      </c>
      <c r="L45" s="105">
        <f t="shared" si="3"/>
        <v>80.41234</v>
      </c>
    </row>
    <row r="46" spans="1:32" s="49" customFormat="1" ht="33" x14ac:dyDescent="0.25">
      <c r="A46" s="103" t="str">
        <f t="shared" si="11"/>
        <v>6d</v>
      </c>
      <c r="B46" s="219"/>
      <c r="C46" s="250"/>
      <c r="D46" s="216"/>
      <c r="E46" s="83" t="s">
        <v>42</v>
      </c>
      <c r="F46" s="85" t="s">
        <v>92</v>
      </c>
      <c r="G46" s="115" t="s">
        <v>39</v>
      </c>
      <c r="H46" s="162" t="s">
        <v>222</v>
      </c>
      <c r="I46" s="108" t="str">
        <f t="shared" si="2"/>
        <v>Mantenimiento del control</v>
      </c>
      <c r="J46" s="105">
        <f t="shared" si="10"/>
        <v>80</v>
      </c>
      <c r="K46" s="105">
        <v>0.41234500000000002</v>
      </c>
      <c r="L46" s="105">
        <f t="shared" si="3"/>
        <v>80.412345000000002</v>
      </c>
    </row>
    <row r="47" spans="1:32" s="49" customFormat="1" ht="63" x14ac:dyDescent="0.25">
      <c r="A47" s="103" t="str">
        <f t="shared" si="11"/>
        <v>6e</v>
      </c>
      <c r="B47" s="219"/>
      <c r="C47" s="250"/>
      <c r="D47" s="216"/>
      <c r="E47" s="83" t="s">
        <v>44</v>
      </c>
      <c r="F47" s="85" t="s">
        <v>93</v>
      </c>
      <c r="G47" s="115" t="s">
        <v>39</v>
      </c>
      <c r="H47" s="162" t="s">
        <v>223</v>
      </c>
      <c r="I47" s="108" t="str">
        <f t="shared" si="2"/>
        <v>Mantenimiento del control</v>
      </c>
      <c r="J47" s="105">
        <f t="shared" si="10"/>
        <v>80</v>
      </c>
      <c r="K47" s="105">
        <v>0.41234559999999998</v>
      </c>
      <c r="L47" s="105">
        <f t="shared" si="3"/>
        <v>80.412345599999995</v>
      </c>
    </row>
    <row r="48" spans="1:32" s="49" customFormat="1" ht="63" x14ac:dyDescent="0.25">
      <c r="A48" s="103" t="str">
        <f t="shared" si="11"/>
        <v>6f</v>
      </c>
      <c r="B48" s="219"/>
      <c r="C48" s="250"/>
      <c r="D48" s="216"/>
      <c r="E48" s="83" t="s">
        <v>46</v>
      </c>
      <c r="F48" s="85" t="s">
        <v>94</v>
      </c>
      <c r="G48" s="115" t="s">
        <v>76</v>
      </c>
      <c r="H48" s="162" t="s">
        <v>224</v>
      </c>
      <c r="I48" s="108" t="str">
        <f t="shared" si="2"/>
        <v>Oportunidad de mejora</v>
      </c>
      <c r="J48" s="105">
        <f t="shared" si="10"/>
        <v>70</v>
      </c>
      <c r="K48" s="105">
        <v>0.41234567</v>
      </c>
      <c r="L48" s="105">
        <f t="shared" si="3"/>
        <v>70.412345669999993</v>
      </c>
    </row>
    <row r="49" spans="1:17" s="49" customFormat="1" ht="50.25" thickBot="1" x14ac:dyDescent="0.3">
      <c r="A49" s="103" t="str">
        <f t="shared" si="11"/>
        <v>6g</v>
      </c>
      <c r="B49" s="220"/>
      <c r="C49" s="251"/>
      <c r="D49" s="217"/>
      <c r="E49" s="86" t="s">
        <v>48</v>
      </c>
      <c r="F49" s="87" t="s">
        <v>95</v>
      </c>
      <c r="G49" s="117" t="s">
        <v>39</v>
      </c>
      <c r="H49" s="163" t="s">
        <v>225</v>
      </c>
      <c r="I49" s="109" t="str">
        <f t="shared" si="2"/>
        <v>Mantenimiento del control</v>
      </c>
      <c r="J49" s="105">
        <f t="shared" si="10"/>
        <v>80</v>
      </c>
      <c r="K49" s="105">
        <v>0.41234567799999999</v>
      </c>
      <c r="L49" s="105">
        <f t="shared" si="3"/>
        <v>80.412345677999994</v>
      </c>
    </row>
    <row r="50" spans="1:17" s="49" customFormat="1" ht="54.75" customHeight="1" x14ac:dyDescent="0.25">
      <c r="A50" s="103" t="str">
        <f>7&amp;E50</f>
        <v>7a</v>
      </c>
      <c r="B50" s="224" t="s">
        <v>96</v>
      </c>
      <c r="C50" s="252" t="s">
        <v>97</v>
      </c>
      <c r="D50" s="221" t="s">
        <v>98</v>
      </c>
      <c r="E50" s="81" t="s">
        <v>34</v>
      </c>
      <c r="F50" s="82" t="s">
        <v>99</v>
      </c>
      <c r="G50" s="112" t="s">
        <v>39</v>
      </c>
      <c r="H50" s="164" t="s">
        <v>226</v>
      </c>
      <c r="I50" s="104" t="str">
        <f t="shared" si="2"/>
        <v>Mantenimiento del control</v>
      </c>
      <c r="J50" s="105">
        <f>+IF(G50="Si",120,IF(G50="En proceso",100,80))</f>
        <v>120</v>
      </c>
      <c r="K50" s="105">
        <v>0.85099999999999998</v>
      </c>
      <c r="L50" s="105">
        <f t="shared" si="3"/>
        <v>120.851</v>
      </c>
    </row>
    <row r="51" spans="1:17" s="49" customFormat="1" ht="94.5" x14ac:dyDescent="0.25">
      <c r="A51" s="103" t="str">
        <f t="shared" ref="A51:A53" si="12">7&amp;E51</f>
        <v>7d</v>
      </c>
      <c r="B51" s="225"/>
      <c r="C51" s="253"/>
      <c r="D51" s="222"/>
      <c r="E51" s="83" t="s">
        <v>42</v>
      </c>
      <c r="F51" s="85" t="s">
        <v>100</v>
      </c>
      <c r="G51" s="115" t="s">
        <v>39</v>
      </c>
      <c r="H51" s="162" t="s">
        <v>227</v>
      </c>
      <c r="I51" s="108" t="str">
        <f t="shared" si="2"/>
        <v>Mantenimiento del control</v>
      </c>
      <c r="J51" s="105">
        <f t="shared" ref="J51:J59" si="13">+IF(G51="Si",120,IF(G51="En proceso",100,80))</f>
        <v>120</v>
      </c>
      <c r="K51" s="105">
        <v>0.85119999999999996</v>
      </c>
      <c r="L51" s="105">
        <f t="shared" si="3"/>
        <v>120.85120000000001</v>
      </c>
    </row>
    <row r="52" spans="1:17" s="49" customFormat="1" ht="66" x14ac:dyDescent="0.25">
      <c r="A52" s="103" t="str">
        <f t="shared" si="12"/>
        <v>7f</v>
      </c>
      <c r="B52" s="225"/>
      <c r="C52" s="253"/>
      <c r="D52" s="222"/>
      <c r="E52" s="83" t="s">
        <v>46</v>
      </c>
      <c r="F52" s="85" t="s">
        <v>101</v>
      </c>
      <c r="G52" s="115" t="s">
        <v>39</v>
      </c>
      <c r="H52" s="162" t="s">
        <v>228</v>
      </c>
      <c r="I52" s="108" t="str">
        <f t="shared" si="2"/>
        <v>Mantenimiento del control</v>
      </c>
      <c r="J52" s="105">
        <f t="shared" si="13"/>
        <v>120</v>
      </c>
      <c r="K52" s="105">
        <v>0.85123000000000004</v>
      </c>
      <c r="L52" s="105">
        <f t="shared" si="3"/>
        <v>120.85123</v>
      </c>
    </row>
    <row r="53" spans="1:17" s="49" customFormat="1" ht="66.75" thickBot="1" x14ac:dyDescent="0.3">
      <c r="A53" s="103" t="str">
        <f t="shared" si="12"/>
        <v>7g</v>
      </c>
      <c r="B53" s="226"/>
      <c r="C53" s="254"/>
      <c r="D53" s="223"/>
      <c r="E53" s="86" t="s">
        <v>48</v>
      </c>
      <c r="F53" s="87" t="s">
        <v>102</v>
      </c>
      <c r="G53" s="117" t="s">
        <v>39</v>
      </c>
      <c r="H53" s="163" t="s">
        <v>229</v>
      </c>
      <c r="I53" s="109" t="str">
        <f t="shared" si="2"/>
        <v>Mantenimiento del control</v>
      </c>
      <c r="J53" s="105">
        <f t="shared" si="13"/>
        <v>120</v>
      </c>
      <c r="K53" s="105">
        <v>0.85123400000000005</v>
      </c>
      <c r="L53" s="105">
        <f t="shared" si="3"/>
        <v>120.85123400000001</v>
      </c>
    </row>
    <row r="54" spans="1:17" s="49" customFormat="1" ht="102.75" customHeight="1" thickBot="1" x14ac:dyDescent="0.3">
      <c r="A54" s="103" t="str">
        <f>8&amp;E54</f>
        <v>8h</v>
      </c>
      <c r="B54" s="160" t="s">
        <v>103</v>
      </c>
      <c r="C54" s="161" t="s">
        <v>97</v>
      </c>
      <c r="D54" s="76" t="s">
        <v>104</v>
      </c>
      <c r="E54" s="81" t="s">
        <v>50</v>
      </c>
      <c r="F54" s="82" t="s">
        <v>105</v>
      </c>
      <c r="G54" s="112" t="s">
        <v>36</v>
      </c>
      <c r="H54" s="164" t="s">
        <v>230</v>
      </c>
      <c r="I54" s="104" t="str">
        <f t="shared" si="2"/>
        <v>Deficiencia de control</v>
      </c>
      <c r="J54" s="105">
        <f t="shared" si="13"/>
        <v>80</v>
      </c>
      <c r="K54" s="105">
        <v>0.85123450000000001</v>
      </c>
      <c r="L54" s="105">
        <f t="shared" si="3"/>
        <v>80.851234500000004</v>
      </c>
    </row>
    <row r="55" spans="1:17" s="49" customFormat="1" ht="54.75" customHeight="1" x14ac:dyDescent="0.25">
      <c r="A55" s="103" t="str">
        <f>9&amp;E55</f>
        <v>9a</v>
      </c>
      <c r="B55" s="224" t="s">
        <v>106</v>
      </c>
      <c r="C55" s="252" t="s">
        <v>97</v>
      </c>
      <c r="D55" s="221" t="s">
        <v>107</v>
      </c>
      <c r="E55" s="81" t="s">
        <v>34</v>
      </c>
      <c r="F55" s="82" t="s">
        <v>108</v>
      </c>
      <c r="G55" s="112" t="s">
        <v>39</v>
      </c>
      <c r="H55" s="164" t="s">
        <v>231</v>
      </c>
      <c r="I55" s="104" t="str">
        <f t="shared" si="2"/>
        <v>Mantenimiento del control</v>
      </c>
      <c r="J55" s="105">
        <f t="shared" si="13"/>
        <v>120</v>
      </c>
      <c r="K55" s="110">
        <v>0.85123455999999997</v>
      </c>
      <c r="L55" s="105">
        <f t="shared" si="3"/>
        <v>120.85123455999999</v>
      </c>
      <c r="M55" s="48"/>
      <c r="N55" s="48"/>
      <c r="O55" s="48"/>
      <c r="P55" s="48"/>
      <c r="Q55" s="48"/>
    </row>
    <row r="56" spans="1:17" s="49" customFormat="1" ht="55.5" customHeight="1" x14ac:dyDescent="0.25">
      <c r="A56" s="103" t="str">
        <f t="shared" ref="A56:A59" si="14">9&amp;E56</f>
        <v>9b</v>
      </c>
      <c r="B56" s="225"/>
      <c r="C56" s="253"/>
      <c r="D56" s="222"/>
      <c r="E56" s="83" t="s">
        <v>37</v>
      </c>
      <c r="F56" s="85" t="s">
        <v>109</v>
      </c>
      <c r="G56" s="115" t="s">
        <v>76</v>
      </c>
      <c r="H56" s="162" t="s">
        <v>232</v>
      </c>
      <c r="I56" s="108" t="str">
        <f t="shared" si="2"/>
        <v>Oportunidad de mejora</v>
      </c>
      <c r="J56" s="105">
        <f t="shared" si="13"/>
        <v>100</v>
      </c>
      <c r="K56" s="110">
        <v>0.851234567</v>
      </c>
      <c r="L56" s="105">
        <f t="shared" si="3"/>
        <v>100.85123456700001</v>
      </c>
      <c r="M56" s="48"/>
      <c r="N56" s="48"/>
      <c r="O56" s="48"/>
      <c r="P56" s="48"/>
      <c r="Q56" s="48"/>
    </row>
    <row r="57" spans="1:17" s="49" customFormat="1" ht="77.25" customHeight="1" x14ac:dyDescent="0.25">
      <c r="A57" s="103" t="str">
        <f t="shared" si="14"/>
        <v>9c</v>
      </c>
      <c r="B57" s="225"/>
      <c r="C57" s="253"/>
      <c r="D57" s="222"/>
      <c r="E57" s="83" t="s">
        <v>40</v>
      </c>
      <c r="F57" s="85" t="s">
        <v>110</v>
      </c>
      <c r="G57" s="115" t="s">
        <v>76</v>
      </c>
      <c r="H57" s="162" t="s">
        <v>233</v>
      </c>
      <c r="I57" s="108" t="str">
        <f t="shared" si="2"/>
        <v>Oportunidad de mejora</v>
      </c>
      <c r="J57" s="105">
        <f t="shared" si="13"/>
        <v>100</v>
      </c>
      <c r="K57" s="110">
        <v>0.85123456779999995</v>
      </c>
      <c r="L57" s="105">
        <f t="shared" si="3"/>
        <v>100.85123456780001</v>
      </c>
      <c r="M57" s="48"/>
      <c r="N57" s="48"/>
      <c r="O57" s="48"/>
      <c r="P57" s="48"/>
      <c r="Q57" s="48"/>
    </row>
    <row r="58" spans="1:17" s="49" customFormat="1" ht="77.25" customHeight="1" x14ac:dyDescent="0.25">
      <c r="A58" s="103" t="str">
        <f t="shared" si="14"/>
        <v>9d</v>
      </c>
      <c r="B58" s="225"/>
      <c r="C58" s="253"/>
      <c r="D58" s="222"/>
      <c r="E58" s="83" t="s">
        <v>42</v>
      </c>
      <c r="F58" s="85" t="s">
        <v>111</v>
      </c>
      <c r="G58" s="115" t="s">
        <v>39</v>
      </c>
      <c r="H58" s="162" t="s">
        <v>234</v>
      </c>
      <c r="I58" s="108" t="str">
        <f t="shared" si="2"/>
        <v>Mantenimiento del control</v>
      </c>
      <c r="J58" s="105">
        <f t="shared" si="13"/>
        <v>120</v>
      </c>
      <c r="K58" s="110">
        <v>0.85123456788999996</v>
      </c>
      <c r="L58" s="105">
        <f t="shared" si="3"/>
        <v>120.85123456789</v>
      </c>
      <c r="M58" s="48"/>
      <c r="N58" s="48"/>
      <c r="O58" s="48"/>
      <c r="P58" s="48"/>
      <c r="Q58" s="48"/>
    </row>
    <row r="59" spans="1:17" s="49" customFormat="1" ht="77.25" customHeight="1" thickBot="1" x14ac:dyDescent="0.3">
      <c r="A59" s="103" t="str">
        <f t="shared" si="14"/>
        <v>9e</v>
      </c>
      <c r="B59" s="226"/>
      <c r="C59" s="253"/>
      <c r="D59" s="239"/>
      <c r="E59" s="86" t="s">
        <v>44</v>
      </c>
      <c r="F59" s="87" t="s">
        <v>112</v>
      </c>
      <c r="G59" s="117" t="s">
        <v>39</v>
      </c>
      <c r="H59" s="163" t="s">
        <v>235</v>
      </c>
      <c r="I59" s="109" t="str">
        <f t="shared" si="2"/>
        <v>Mantenimiento del control</v>
      </c>
      <c r="J59" s="105">
        <f t="shared" si="13"/>
        <v>120</v>
      </c>
      <c r="K59" s="110">
        <v>0.85123456789100005</v>
      </c>
      <c r="L59" s="105">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zoomScale="80" zoomScaleNormal="80" workbookViewId="0">
      <selection activeCell="E11" sqref="E11:F11"/>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4" t="s">
        <v>113</v>
      </c>
      <c r="D7" s="265"/>
      <c r="E7" s="265"/>
      <c r="F7" s="265"/>
      <c r="G7" s="265"/>
      <c r="H7" s="265"/>
      <c r="I7" s="265"/>
      <c r="J7" s="265"/>
      <c r="K7" s="266"/>
    </row>
    <row r="8" spans="1:11" s="1" customFormat="1" ht="15.75" thickBot="1" x14ac:dyDescent="0.3">
      <c r="C8" s="39"/>
      <c r="D8" s="39"/>
      <c r="E8" s="40"/>
      <c r="F8" s="40"/>
      <c r="G8" s="40"/>
      <c r="H8" s="40"/>
      <c r="I8" s="50"/>
      <c r="J8" s="40"/>
      <c r="K8" s="40"/>
    </row>
    <row r="9" spans="1:11" ht="21" thickBot="1" x14ac:dyDescent="0.3">
      <c r="A9" s="1"/>
      <c r="B9" s="1"/>
      <c r="C9" s="173" t="s">
        <v>15</v>
      </c>
      <c r="D9" s="174"/>
      <c r="E9" s="174" t="s">
        <v>16</v>
      </c>
      <c r="F9" s="185"/>
      <c r="G9" s="40"/>
      <c r="H9" s="40"/>
      <c r="I9" s="50"/>
      <c r="J9" s="40"/>
      <c r="K9" s="40"/>
    </row>
    <row r="10" spans="1:11" ht="54" customHeight="1" x14ac:dyDescent="0.25">
      <c r="A10" s="1"/>
      <c r="B10" s="1"/>
      <c r="C10" s="186" t="s">
        <v>17</v>
      </c>
      <c r="D10" s="187"/>
      <c r="E10" s="188" t="s">
        <v>18</v>
      </c>
      <c r="F10" s="189"/>
      <c r="G10" s="41"/>
      <c r="H10" s="42">
        <v>1</v>
      </c>
      <c r="I10" s="50"/>
      <c r="J10" s="40"/>
      <c r="K10" s="40"/>
    </row>
    <row r="11" spans="1:11" ht="46.5" customHeight="1" x14ac:dyDescent="0.25">
      <c r="A11" s="1"/>
      <c r="B11" s="1"/>
      <c r="C11" s="175" t="s">
        <v>19</v>
      </c>
      <c r="D11" s="176"/>
      <c r="E11" s="177" t="s">
        <v>114</v>
      </c>
      <c r="F11" s="178"/>
      <c r="G11" s="43" t="s">
        <v>115</v>
      </c>
      <c r="H11" s="42">
        <v>0.75</v>
      </c>
      <c r="I11" s="50"/>
      <c r="J11" s="40"/>
      <c r="K11" s="40"/>
    </row>
    <row r="12" spans="1:11" ht="70.5" customHeight="1" thickBot="1" x14ac:dyDescent="0.3">
      <c r="A12" s="1"/>
      <c r="B12" s="1"/>
      <c r="C12" s="179" t="s">
        <v>21</v>
      </c>
      <c r="D12" s="180"/>
      <c r="E12" s="181" t="s">
        <v>116</v>
      </c>
      <c r="F12" s="182"/>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2" t="s">
        <v>117</v>
      </c>
      <c r="D17" s="274" t="s">
        <v>118</v>
      </c>
      <c r="E17" s="275"/>
      <c r="F17" s="276" t="s">
        <v>119</v>
      </c>
      <c r="G17" s="278" t="s">
        <v>120</v>
      </c>
      <c r="H17" s="38"/>
      <c r="I17" s="267" t="s">
        <v>121</v>
      </c>
      <c r="J17" s="267" t="s">
        <v>122</v>
      </c>
    </row>
    <row r="18" spans="1:10" ht="36" customHeight="1" thickBot="1" x14ac:dyDescent="0.3">
      <c r="A18" s="1"/>
      <c r="B18" s="1"/>
      <c r="C18" s="273"/>
      <c r="D18" s="120" t="s">
        <v>123</v>
      </c>
      <c r="E18" s="121" t="s">
        <v>27</v>
      </c>
      <c r="F18" s="277"/>
      <c r="G18" s="279"/>
      <c r="H18" s="38"/>
      <c r="I18" s="268"/>
      <c r="J18" s="268"/>
    </row>
    <row r="19" spans="1:10" ht="65.25" customHeight="1" x14ac:dyDescent="0.25">
      <c r="A19" s="1"/>
      <c r="B19" s="1"/>
      <c r="C19" s="139">
        <v>1</v>
      </c>
      <c r="D19" s="269" t="s">
        <v>32</v>
      </c>
      <c r="E19" s="122" t="str">
        <f>+IFERROR(INDEX(Hoja1!$E$2:$E$45,MATCH('Análisis Resultados'!C19,Hoja1!$H$2:$H$45,0)),"")</f>
        <v>Evaluación a los servidores públicos de acuerdo con el marco normativo que le rige</v>
      </c>
      <c r="F19" s="123" t="str">
        <f>+IFERROR(VLOOKUP(C19,Hoja1!$H$2:$I$45,2,0),"")</f>
        <v>No</v>
      </c>
      <c r="G19" s="124"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40">
        <f>+IF(F19="Si",1,IF(F19="En proceso",0.5,0))</f>
        <v>0</v>
      </c>
      <c r="J19" s="282">
        <f>+AVERAGE(I19:I30)</f>
        <v>0.83333333333333337</v>
      </c>
    </row>
    <row r="20" spans="1:10" ht="33.75" x14ac:dyDescent="0.25">
      <c r="A20" s="1"/>
      <c r="B20" s="1"/>
      <c r="C20" s="139">
        <v>2</v>
      </c>
      <c r="D20" s="270"/>
      <c r="E20" s="125" t="str">
        <f>+IFERROR(INDEX(Hoja1!$E$2:$E$45,MATCH('Análisis Resultados'!C20,Hoja1!$H$2:$H$45,0)),"")</f>
        <v>Un manual de funciones que describa los empleos de la entidad</v>
      </c>
      <c r="F20" s="126" t="str">
        <f>+IFERROR(VLOOKUP(C20,Hoja1!$H$2:$I$45,2,0),"")</f>
        <v>En proceso</v>
      </c>
      <c r="G20" s="127"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20" s="18"/>
      <c r="I20" s="141">
        <f t="shared" ref="I20:I62" si="1">+IF(F20="Si",1,IF(F20="En proceso",0.5,0))</f>
        <v>0.5</v>
      </c>
      <c r="J20" s="283"/>
    </row>
    <row r="21" spans="1:10" ht="42.75" x14ac:dyDescent="0.25">
      <c r="A21" s="1"/>
      <c r="B21" s="1"/>
      <c r="C21" s="139">
        <v>3</v>
      </c>
      <c r="D21" s="270"/>
      <c r="E21" s="125" t="str">
        <f>+IFERROR(INDEX(Hoja1!$E$2:$E$45,MATCH('Análisis Resultados'!C21,Hoja1!$H$2:$H$45,0)),"")</f>
        <v>La documentación de sus procesos y procedimientos o bien una lista de actividades principales que permitan conocer el estado de su gestión</v>
      </c>
      <c r="F21" s="126" t="str">
        <f>+IFERROR(VLOOKUP(C21,Hoja1!$H$2:$I$45,2,0),"")</f>
        <v>En proceso</v>
      </c>
      <c r="G21" s="127" t="str">
        <f t="shared" si="0"/>
        <v>Se encuentra en proceso, pero requiere continuar con acciones dirigidas a contar con dicho aspecto de control.</v>
      </c>
      <c r="H21" s="18"/>
      <c r="I21" s="141">
        <f t="shared" si="1"/>
        <v>0.5</v>
      </c>
      <c r="J21" s="283"/>
    </row>
    <row r="22" spans="1:10" ht="56.25" customHeight="1" x14ac:dyDescent="0.25">
      <c r="A22" s="1"/>
      <c r="B22" s="1"/>
      <c r="C22" s="139">
        <v>4</v>
      </c>
      <c r="D22" s="270"/>
      <c r="E22" s="125" t="str">
        <f>+IFERROR(INDEX(Hoja1!$E$2:$E$45,MATCH('Análisis Resultados'!C22,Hoja1!$H$2:$H$45,0)),"")</f>
        <v>Documento interno o adopción del MECI actualizado</v>
      </c>
      <c r="F22" s="126" t="str">
        <f>+IFERROR(VLOOKUP(C22,Hoja1!$H$2:$I$45,2,0),"")</f>
        <v>Si</v>
      </c>
      <c r="G22" s="127" t="str">
        <f t="shared" si="0"/>
        <v>Existe requerimiento pero se requiere actividades  dirigidas a su mantenimiento dentro del marco de las lineas de defensa.</v>
      </c>
      <c r="H22" s="18"/>
      <c r="I22" s="141">
        <f t="shared" si="1"/>
        <v>1</v>
      </c>
      <c r="J22" s="283"/>
    </row>
    <row r="23" spans="1:10" ht="57" x14ac:dyDescent="0.25">
      <c r="A23" s="1"/>
      <c r="B23" s="1"/>
      <c r="C23" s="139">
        <v>5</v>
      </c>
      <c r="D23" s="270"/>
      <c r="E23" s="125" t="str">
        <f>+IFERROR(INDEX(Hoja1!$E$2:$E$45,MATCH('Análisis Resultados'!C23,Hoja1!$H$2:$H$45,0)),"")</f>
        <v>Un documento tal como un código de ética, integridad u otro que formalice los estándares de conducta, los principios institucionales o los valores del servicio público</v>
      </c>
      <c r="F23" s="126" t="str">
        <f>+IFERROR(VLOOKUP(C23,Hoja1!$H$2:$I$45,2,0),"")</f>
        <v>Si</v>
      </c>
      <c r="G23" s="127" t="str">
        <f t="shared" si="0"/>
        <v>Existe requerimiento pero se requiere actividades  dirigidas a su mantenimiento dentro del marco de las lineas de defensa.</v>
      </c>
      <c r="H23" s="18"/>
      <c r="I23" s="141">
        <f t="shared" si="1"/>
        <v>1</v>
      </c>
      <c r="J23" s="283"/>
    </row>
    <row r="24" spans="1:10" ht="45" x14ac:dyDescent="0.25">
      <c r="A24" s="1"/>
      <c r="B24" s="1"/>
      <c r="C24" s="139">
        <v>6</v>
      </c>
      <c r="D24" s="270"/>
      <c r="E24" s="125" t="str">
        <f>+IFERROR(INDEX(Hoja1!$E$2:$E$45,MATCH('Análisis Resultados'!C24,Hoja1!$H$2:$H$45,0)),"")</f>
        <v>Planes, programas y proyectos de acuerdo con las normas que rigen y atendiendo con su propósito fundamental institucional (misión)</v>
      </c>
      <c r="F24" s="126" t="str">
        <f>+IFERROR(VLOOKUP(C24,Hoja1!$H$2:$I$45,2,0),"")</f>
        <v>Si</v>
      </c>
      <c r="G24" s="127" t="str">
        <f t="shared" si="0"/>
        <v>Existe requerimiento pero se requiere actividades  dirigidas a su mantenimiento dentro del marco de las lineas de defensa.</v>
      </c>
      <c r="H24" s="18"/>
      <c r="I24" s="141">
        <f t="shared" si="1"/>
        <v>1</v>
      </c>
      <c r="J24" s="283"/>
    </row>
    <row r="25" spans="1:10" ht="45" x14ac:dyDescent="0.25">
      <c r="A25" s="1"/>
      <c r="B25" s="1"/>
      <c r="C25" s="139">
        <v>7</v>
      </c>
      <c r="D25" s="270"/>
      <c r="E25" s="125" t="str">
        <f>+IFERROR(INDEX(Hoja1!$E$2:$E$45,MATCH('Análisis Resultados'!C25,Hoja1!$H$2:$H$45,0)),"")</f>
        <v>Una estructura organizacional formalizada (organigrama)</v>
      </c>
      <c r="F25" s="126" t="str">
        <f>+IFERROR(VLOOKUP(C25,Hoja1!$H$2:$I$45,2,0),"")</f>
        <v>Si</v>
      </c>
      <c r="G25" s="127" t="str">
        <f t="shared" si="0"/>
        <v>Existe requerimiento pero se requiere actividades  dirigidas a su mantenimiento dentro del marco de las lineas de defensa.</v>
      </c>
      <c r="H25" s="18"/>
      <c r="I25" s="141">
        <f t="shared" si="1"/>
        <v>1</v>
      </c>
      <c r="J25" s="283"/>
    </row>
    <row r="26" spans="1:10" ht="45" x14ac:dyDescent="0.25">
      <c r="A26" s="1"/>
      <c r="B26" s="1"/>
      <c r="C26" s="139">
        <v>8</v>
      </c>
      <c r="D26" s="270"/>
      <c r="E26" s="125" t="str">
        <f>+IFERROR(INDEX(Hoja1!$E$2:$E$45,MATCH('Análisis Resultados'!C26,Hoja1!$H$2:$H$45,0)),"")</f>
        <v>Vinculación de los servidores públicos de acuerdo con el marco normativo que les rige (carrera administrativa, libre nombramiento y remoción, entre otros)</v>
      </c>
      <c r="F26" s="126" t="str">
        <f>+IFERROR(VLOOKUP(C26,Hoja1!$H$2:$I$45,2,0),"")</f>
        <v>Si</v>
      </c>
      <c r="G26" s="127" t="str">
        <f t="shared" si="0"/>
        <v>Existe requerimiento pero se requiere actividades  dirigidas a su mantenimiento dentro del marco de las lineas de defensa.</v>
      </c>
      <c r="H26" s="18"/>
      <c r="I26" s="141">
        <f t="shared" si="1"/>
        <v>1</v>
      </c>
      <c r="J26" s="283"/>
    </row>
    <row r="27" spans="1:10" ht="45" x14ac:dyDescent="0.25">
      <c r="A27" s="1"/>
      <c r="B27" s="1"/>
      <c r="C27" s="139">
        <v>9</v>
      </c>
      <c r="D27" s="270"/>
      <c r="E27" s="125" t="str">
        <f>+IFERROR(INDEX(Hoja1!$E$2:$E$45,MATCH('Análisis Resultados'!C27,Hoja1!$H$2:$H$45,0)),"")</f>
        <v>Procesos de inducción, capacitación y bienestar social para sus servidores públicos, de manera directa o en asociación con otras entidades municipales</v>
      </c>
      <c r="F27" s="126" t="str">
        <f>+IFERROR(VLOOKUP(C27,Hoja1!$H$2:$I$45,2,0),"")</f>
        <v>Si</v>
      </c>
      <c r="G27" s="127" t="str">
        <f t="shared" si="0"/>
        <v>Existe requerimiento pero se requiere actividades  dirigidas a su mantenimiento dentro del marco de las lineas de defensa.</v>
      </c>
      <c r="H27" s="18"/>
      <c r="I27" s="141">
        <f t="shared" si="1"/>
        <v>1</v>
      </c>
      <c r="J27" s="283"/>
    </row>
    <row r="28" spans="1:10" ht="45" x14ac:dyDescent="0.25">
      <c r="A28" s="1"/>
      <c r="B28" s="1"/>
      <c r="C28" s="139">
        <v>10</v>
      </c>
      <c r="D28" s="270"/>
      <c r="E28" s="125" t="str">
        <f>+IFERROR(INDEX(Hoja1!$E$2:$E$45,MATCH('Análisis Resultados'!C28,Hoja1!$H$2:$H$45,0)),"")</f>
        <v>Procesos de desvinculación de servidores de acuerdo con lo previsto en la Constitución Política y las leyes</v>
      </c>
      <c r="F28" s="126" t="str">
        <f>+IFERROR(VLOOKUP(C28,Hoja1!$H$2:$I$45,2,0),"")</f>
        <v>Si</v>
      </c>
      <c r="G28" s="127" t="str">
        <f t="shared" si="0"/>
        <v>Existe requerimiento pero se requiere actividades  dirigidas a su mantenimiento dentro del marco de las lineas de defensa.</v>
      </c>
      <c r="H28" s="18"/>
      <c r="I28" s="141">
        <f t="shared" si="1"/>
        <v>1</v>
      </c>
      <c r="J28" s="283"/>
    </row>
    <row r="29" spans="1:10" ht="45" x14ac:dyDescent="0.25">
      <c r="A29" s="1"/>
      <c r="B29" s="1"/>
      <c r="C29" s="139">
        <v>11</v>
      </c>
      <c r="D29" s="270"/>
      <c r="E29" s="125" t="str">
        <f>+IFERROR(INDEX(Hoja1!$E$2:$E$45,MATCH('Análisis Resultados'!C29,Hoja1!$H$2:$H$45,0)),"")</f>
        <v>Mecanismos de rendición de cuentas a la ciudadanía</v>
      </c>
      <c r="F29" s="126" t="str">
        <f>+IFERROR(VLOOKUP(C29,Hoja1!$H$2:$I$45,2,0),"")</f>
        <v>Si</v>
      </c>
      <c r="G29" s="127"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41">
        <f t="shared" si="1"/>
        <v>1</v>
      </c>
      <c r="J29" s="283"/>
    </row>
    <row r="30" spans="1:10" ht="45.75" thickBot="1" x14ac:dyDescent="0.3">
      <c r="A30" s="1"/>
      <c r="B30" s="1"/>
      <c r="C30" s="139">
        <v>12</v>
      </c>
      <c r="D30" s="271"/>
      <c r="E30" s="128" t="str">
        <f>+IFERROR(INDEX(Hoja1!$E$2:$E$45,MATCH('Análisis Resultados'!C30,Hoja1!$H$2:$H$45,0)),"")</f>
        <v>Presentación oportuna de sus informes de gestión a las autoridades competentes</v>
      </c>
      <c r="F30" s="129" t="str">
        <f>+IFERROR(VLOOKUP(C30,Hoja1!$H$2:$I$45,2,0),"")</f>
        <v>Si</v>
      </c>
      <c r="G30" s="130" t="str">
        <f t="shared" si="0"/>
        <v>Existe requerimiento pero se requiere actividades  dirigidas a su mantenimiento dentro del marco de las lineas de defensa.</v>
      </c>
      <c r="H30" s="18"/>
      <c r="I30" s="142">
        <f t="shared" si="1"/>
        <v>1</v>
      </c>
      <c r="J30" s="284"/>
    </row>
    <row r="31" spans="1:10" ht="45" customHeight="1" x14ac:dyDescent="0.25">
      <c r="A31" s="1"/>
      <c r="B31" s="1"/>
      <c r="C31" s="139">
        <v>13</v>
      </c>
      <c r="D31" s="296" t="s">
        <v>61</v>
      </c>
      <c r="E31" s="122" t="str">
        <f>+IFERROR(INDEX(Hoja1!$E$2:$E$45,MATCH('Análisis Resultados'!C31,Hoja1!$H$2:$H$45,0)),"")</f>
        <v>Hacen seguimiento a los problemas (riesgos)  que pueden afectar el cumplimiento de sus procesos, programas o proyectos a cargo</v>
      </c>
      <c r="F31" s="123" t="str">
        <f>+IFERROR(VLOOKUP(C31,Hoja1!$H$2:$I$45,2,0),"")</f>
        <v>En proceso</v>
      </c>
      <c r="G31" s="124" t="str">
        <f t="shared" si="0"/>
        <v>Se encuentra en proceso, pero requiere continuar con acciones dirigidas a contar con dicho aspecto de control.</v>
      </c>
      <c r="H31" s="18"/>
      <c r="I31" s="140">
        <f t="shared" si="1"/>
        <v>0.5</v>
      </c>
      <c r="J31" s="280">
        <f>+AVERAGE(I31:I40)</f>
        <v>0.8</v>
      </c>
    </row>
    <row r="32" spans="1:10" ht="57" customHeight="1" x14ac:dyDescent="0.25">
      <c r="A32" s="1"/>
      <c r="B32" s="1"/>
      <c r="C32" s="139">
        <v>14</v>
      </c>
      <c r="D32" s="297"/>
      <c r="E32" s="125" t="str">
        <f>+IFERROR(INDEX(Hoja1!$E$2:$E$45,MATCH('Análisis Resultados'!C32,Hoja1!$H$2:$H$45,0)),"")</f>
        <v>Identifican deficiencias en las maneras de  controlar los riesgos o problemas en sus procesos, programas o proyectos, y propone los ajustes necesarios</v>
      </c>
      <c r="F32" s="126" t="str">
        <f>+IFERROR(VLOOKUP(C32,Hoja1!$H$2:$I$45,2,0),"")</f>
        <v>En proceso</v>
      </c>
      <c r="G32" s="127" t="str">
        <f t="shared" si="0"/>
        <v>Se encuentra en proceso, pero requiere continuar con acciones dirigidas a contar con dicho aspecto de control.</v>
      </c>
      <c r="H32" s="18"/>
      <c r="I32" s="141">
        <f t="shared" si="1"/>
        <v>0.5</v>
      </c>
      <c r="J32" s="281"/>
    </row>
    <row r="33" spans="1:10" ht="54" customHeight="1" x14ac:dyDescent="0.25">
      <c r="A33" s="1"/>
      <c r="B33" s="1"/>
      <c r="C33" s="139">
        <v>15</v>
      </c>
      <c r="D33" s="297"/>
      <c r="E33" s="125" t="str">
        <f>+IFERROR(INDEX(Hoja1!$E$2:$E$45,MATCH('Análisis Resultados'!C33,Hoja1!$H$2:$H$45,0)),"")</f>
        <v>Cada líder del equipo autónomamente toma las acciones para solucionarlos.</v>
      </c>
      <c r="F33" s="126" t="str">
        <f>+IFERROR(VLOOKUP(C33,Hoja1!$H$2:$I$45,2,0),"")</f>
        <v>En proceso</v>
      </c>
      <c r="G33" s="127" t="str">
        <f t="shared" si="0"/>
        <v>Se encuentra en proceso, pero requiere continuar con acciones dirigidas a contar con dicho aspecto de control.</v>
      </c>
      <c r="H33" s="18"/>
      <c r="I33" s="141">
        <f t="shared" si="1"/>
        <v>0.5</v>
      </c>
      <c r="J33" s="281"/>
    </row>
    <row r="34" spans="1:10" ht="33.75" x14ac:dyDescent="0.25">
      <c r="A34" s="1"/>
      <c r="B34" s="1"/>
      <c r="C34" s="139">
        <v>16</v>
      </c>
      <c r="D34" s="297"/>
      <c r="E34" s="125" t="str">
        <f>+IFERROR(INDEX(Hoja1!$E$2:$E$45,MATCH('Análisis Resultados'!C34,Hoja1!$H$2:$H$45,0)),"")</f>
        <v>Solamente hasta que un organismo de control actúa se definen acciones de mejora.</v>
      </c>
      <c r="F34" s="126" t="str">
        <f>+IFERROR(VLOOKUP(C34,Hoja1!$H$2:$I$45,2,0),"")</f>
        <v>En proceso</v>
      </c>
      <c r="G34" s="127" t="str">
        <f t="shared" si="0"/>
        <v>Se encuentra en proceso, pero requiere continuar con acciones dirigidas a contar con dicho aspecto de control.</v>
      </c>
      <c r="H34" s="18"/>
      <c r="I34" s="141">
        <f t="shared" si="1"/>
        <v>0.5</v>
      </c>
      <c r="J34" s="281"/>
    </row>
    <row r="35" spans="1:10" ht="67.5" customHeight="1" x14ac:dyDescent="0.25">
      <c r="A35" s="1"/>
      <c r="B35" s="1"/>
      <c r="C35" s="139">
        <v>17</v>
      </c>
      <c r="D35" s="297"/>
      <c r="E35" s="125" t="str">
        <f>+IFERROR(INDEX(Hoja1!$E$2:$E$45,MATCH('Análisis Resultados'!C35,Hoja1!$H$2:$H$45,0)),"")</f>
        <v>La identificación de cambios en su entorno que pueden generar consecuencias negativas en su gestión</v>
      </c>
      <c r="F35" s="126" t="str">
        <f>+IFERROR(VLOOKUP(C35,Hoja1!$H$2:$I$45,2,0),"")</f>
        <v>Si</v>
      </c>
      <c r="G35" s="127" t="str">
        <f t="shared" si="0"/>
        <v>Existe requerimiento pero se requiere actividades  dirigidas a su mantenimiento dentro del marco de las lineas de defensa.</v>
      </c>
      <c r="H35" s="18"/>
      <c r="I35" s="141">
        <f t="shared" si="1"/>
        <v>1</v>
      </c>
      <c r="J35" s="281"/>
    </row>
    <row r="36" spans="1:10" ht="45" x14ac:dyDescent="0.25">
      <c r="A36" s="1"/>
      <c r="B36" s="1"/>
      <c r="C36" s="139">
        <v>18</v>
      </c>
      <c r="D36" s="297"/>
      <c r="E36" s="125" t="str">
        <f>+IFERROR(INDEX(Hoja1!$E$2:$E$45,MATCH('Análisis Resultados'!C36,Hoja1!$H$2:$H$45,0)),"")</f>
        <v>La identificación de aquellos problemas o aspectos que pueden afectar el cumplimiento de los planes de la entidad y en general su gestión institucional (riesgos)</v>
      </c>
      <c r="F36" s="126" t="str">
        <f>+IFERROR(VLOOKUP(C36,Hoja1!$H$2:$I$45,2,0),"")</f>
        <v>Si</v>
      </c>
      <c r="G36" s="127" t="str">
        <f t="shared" si="0"/>
        <v>Existe requerimiento pero se requiere actividades  dirigidas a su mantenimiento dentro del marco de las lineas de defensa.</v>
      </c>
      <c r="H36" s="18"/>
      <c r="I36" s="141">
        <f t="shared" si="1"/>
        <v>1</v>
      </c>
      <c r="J36" s="281"/>
    </row>
    <row r="37" spans="1:10" ht="57" customHeight="1" x14ac:dyDescent="0.25">
      <c r="A37" s="1"/>
      <c r="B37" s="1"/>
      <c r="C37" s="139">
        <v>19</v>
      </c>
      <c r="D37" s="297"/>
      <c r="E37" s="125" t="str">
        <f>+IFERROR(INDEX(Hoja1!$E$2:$E$45,MATCH('Análisis Resultados'!C37,Hoja1!$H$2:$H$45,0)),"")</f>
        <v>La identificación  de los riesgos relacionados con posibles actos de corrupción en el ejercicio de sus funciones</v>
      </c>
      <c r="F37" s="126" t="str">
        <f>+IFERROR(VLOOKUP(C37,Hoja1!$H$2:$I$45,2,0),"")</f>
        <v>Si</v>
      </c>
      <c r="G37" s="127" t="str">
        <f t="shared" si="0"/>
        <v>Existe requerimiento pero se requiere actividades  dirigidas a su mantenimiento dentro del marco de las lineas de defensa.</v>
      </c>
      <c r="H37" s="18"/>
      <c r="I37" s="141">
        <f t="shared" si="1"/>
        <v>1</v>
      </c>
      <c r="J37" s="281"/>
    </row>
    <row r="38" spans="1:10" ht="45" x14ac:dyDescent="0.25">
      <c r="A38" s="1"/>
      <c r="B38" s="1"/>
      <c r="C38" s="139">
        <v>20</v>
      </c>
      <c r="D38" s="297"/>
      <c r="E38" s="125" t="str">
        <f>+IFERROR(INDEX(Hoja1!$E$2:$E$45,MATCH('Análisis Resultados'!C38,Hoja1!$H$2:$H$45,0)),"")</f>
        <v>Si su capacidad e infraestructura lo permite, identificación de riesgos asociados a las tecnologías de la información y las comunicaciones</v>
      </c>
      <c r="F38" s="126" t="str">
        <f>+IFERROR(VLOOKUP(C38,Hoja1!$H$2:$I$45,2,0),"")</f>
        <v>Si</v>
      </c>
      <c r="G38" s="127" t="str">
        <f t="shared" si="0"/>
        <v>Existe requerimiento pero se requiere actividades  dirigidas a su mantenimiento dentro del marco de las lineas de defensa.</v>
      </c>
      <c r="H38" s="18"/>
      <c r="I38" s="141">
        <f t="shared" si="1"/>
        <v>1</v>
      </c>
      <c r="J38" s="281"/>
    </row>
    <row r="39" spans="1:10" ht="45" x14ac:dyDescent="0.25">
      <c r="A39" s="1"/>
      <c r="B39" s="1"/>
      <c r="C39" s="139">
        <v>21</v>
      </c>
      <c r="D39" s="297"/>
      <c r="E39" s="125" t="str">
        <f>+IFERROR(INDEX(Hoja1!$E$2:$E$45,MATCH('Análisis Resultados'!C39,Hoja1!$H$2:$H$45,0)),"")</f>
        <v>Informan de manera periódica a quien corresponda sobre el desempeño de las actividades de gestión de riesgos</v>
      </c>
      <c r="F39" s="126" t="str">
        <f>+IFERROR(VLOOKUP(C39,Hoja1!$H$2:$I$45,2,0),"")</f>
        <v>Si</v>
      </c>
      <c r="G39" s="127" t="str">
        <f t="shared" si="0"/>
        <v>Existe requerimiento pero se requiere actividades  dirigidas a su mantenimiento dentro del marco de las lineas de defensa.</v>
      </c>
      <c r="H39" s="18"/>
      <c r="I39" s="141">
        <f t="shared" si="1"/>
        <v>1</v>
      </c>
      <c r="J39" s="281"/>
    </row>
    <row r="40" spans="1:10" ht="45.75" thickBot="1" x14ac:dyDescent="0.3">
      <c r="A40" s="1"/>
      <c r="B40" s="1"/>
      <c r="C40" s="139">
        <v>22</v>
      </c>
      <c r="D40" s="297"/>
      <c r="E40" s="131" t="str">
        <f>+IFERROR(INDEX(Hoja1!$E$2:$E$45,MATCH('Análisis Resultados'!C40,Hoja1!$H$2:$H$45,0)),"")</f>
        <v>Se definen espacios de reunión para conocerlos y proponer acciones para su solución</v>
      </c>
      <c r="F40" s="132" t="str">
        <f>+IFERROR(VLOOKUP(C40,Hoja1!$H$2:$I$45,2,0),"")</f>
        <v>Si</v>
      </c>
      <c r="G40" s="133" t="str">
        <f t="shared" si="0"/>
        <v>Existe requerimiento pero se requiere actividades  dirigidas a su mantenimiento dentro del marco de las lineas de defensa.</v>
      </c>
      <c r="H40" s="18"/>
      <c r="I40" s="143">
        <f t="shared" si="1"/>
        <v>1</v>
      </c>
      <c r="J40" s="281"/>
    </row>
    <row r="41" spans="1:10" ht="87.75" customHeight="1" x14ac:dyDescent="0.25">
      <c r="A41" s="1"/>
      <c r="B41" s="1"/>
      <c r="C41" s="139">
        <v>23</v>
      </c>
      <c r="D41" s="292" t="s">
        <v>79</v>
      </c>
      <c r="E41" s="122" t="str">
        <f>+IFERROR(INDEX(Hoja1!$E$2:$E$45,MATCH('Análisis Resultados'!C41,Hoja1!$H$2:$H$45,0)),"")</f>
        <v>La definición de acciones o actividades para para dar tratamiento a los problemas identificados (mitigación de riesgos), incluyendo aquellos asociados a posibles actos de corrupción</v>
      </c>
      <c r="F41" s="123" t="str">
        <f>+IFERROR(VLOOKUP(C41,Hoja1!$H$2:$I$45,2,0),"")</f>
        <v>En proceso</v>
      </c>
      <c r="G41" s="124" t="str">
        <f t="shared" si="0"/>
        <v>Se encuentra en proceso, pero requiere continuar con acciones dirigidas a contar con dicho aspecto de control.</v>
      </c>
      <c r="H41" s="18"/>
      <c r="I41" s="140">
        <f t="shared" si="1"/>
        <v>0.5</v>
      </c>
      <c r="J41" s="280">
        <f>+AVERAGE(I41:I45)</f>
        <v>0.8</v>
      </c>
    </row>
    <row r="42" spans="1:10" ht="57" x14ac:dyDescent="0.25">
      <c r="A42" s="1"/>
      <c r="B42" s="1"/>
      <c r="C42" s="139">
        <v>24</v>
      </c>
      <c r="D42" s="293"/>
      <c r="E42" s="125" t="str">
        <f>+IFERROR(INDEX(Hoja1!$E$2:$E$45,MATCH('Análisis Resultados'!C42,Hoja1!$H$2:$H$45,0)),"")</f>
        <v>Mecanismos de verificación de si se están o no mitigando los riesgos, o en su defecto, elaboración de planes de contingencia para subsanar sus consecuencias</v>
      </c>
      <c r="F42" s="126" t="str">
        <f>+IFERROR(VLOOKUP(C42,Hoja1!$H$2:$I$45,2,0),"")</f>
        <v>En proceso</v>
      </c>
      <c r="G42" s="127" t="str">
        <f t="shared" si="0"/>
        <v>Se encuentra en proceso, pero requiere continuar con acciones dirigidas a contar con dicho aspecto de control.</v>
      </c>
      <c r="H42" s="18"/>
      <c r="I42" s="141">
        <f t="shared" si="1"/>
        <v>0.5</v>
      </c>
      <c r="J42" s="281"/>
    </row>
    <row r="43" spans="1:10" ht="85.5" customHeight="1" x14ac:dyDescent="0.25">
      <c r="A43" s="1"/>
      <c r="B43" s="1"/>
      <c r="C43" s="139">
        <v>25</v>
      </c>
      <c r="D43" s="293"/>
      <c r="E43" s="125" t="str">
        <f>+IFERROR(INDEX(Hoja1!$E$2:$E$45,MATCH('Análisis Resultados'!C43,Hoja1!$H$2:$H$45,0)),"")</f>
        <v>Planes, acciones o estrategias que permitan subsanar las consecuencias de la materialización de los riesgos, cuando se presentan</v>
      </c>
      <c r="F43" s="126" t="str">
        <f>+IFERROR(VLOOKUP(C43,Hoja1!$H$2:$I$45,2,0),"")</f>
        <v>Si</v>
      </c>
      <c r="G43" s="127" t="str">
        <f t="shared" si="0"/>
        <v>Existe requerimiento pero se requiere actividades  dirigidas a su mantenimiento dentro del marco de las lineas de defensa.</v>
      </c>
      <c r="H43" s="18"/>
      <c r="I43" s="141">
        <f t="shared" si="1"/>
        <v>1</v>
      </c>
      <c r="J43" s="281"/>
    </row>
    <row r="44" spans="1:10" ht="57" customHeight="1" x14ac:dyDescent="0.25">
      <c r="A44" s="1"/>
      <c r="B44" s="1"/>
      <c r="C44" s="139">
        <v>26</v>
      </c>
      <c r="D44" s="293"/>
      <c r="E44" s="125"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6" t="str">
        <f>+IFERROR(VLOOKUP(C44,Hoja1!$H$2:$I$45,2,0),"")</f>
        <v>Si</v>
      </c>
      <c r="G44" s="127" t="str">
        <f t="shared" si="0"/>
        <v>Existe requerimiento pero se requiere actividades  dirigidas a su mantenimiento dentro del marco de las lineas de defensa.</v>
      </c>
      <c r="H44" s="18"/>
      <c r="I44" s="141">
        <f t="shared" si="1"/>
        <v>1</v>
      </c>
      <c r="J44" s="281"/>
    </row>
    <row r="45" spans="1:10" ht="57" customHeight="1" thickBot="1" x14ac:dyDescent="0.3">
      <c r="A45" s="1"/>
      <c r="B45" s="1"/>
      <c r="C45" s="139">
        <v>27</v>
      </c>
      <c r="D45" s="294"/>
      <c r="E45" s="128" t="str">
        <f>+IFERROR(INDEX(Hoja1!$E$2:$E$45,MATCH('Análisis Resultados'!C45,Hoja1!$H$2:$H$45,0)),"")</f>
        <v>Un plan anticorrupción y de servicio al ciudadano con los temas que le aplican, publicado en algún medio para conocimiento de la ciudadanía</v>
      </c>
      <c r="F45" s="129" t="str">
        <f>+IFERROR(VLOOKUP(C45,Hoja1!$H$2:$I$45,2,0),"")</f>
        <v>Si</v>
      </c>
      <c r="G45" s="130" t="str">
        <f t="shared" si="0"/>
        <v>Existe requerimiento pero se requiere actividades  dirigidas a su mantenimiento dentro del marco de las lineas de defensa.</v>
      </c>
      <c r="H45" s="18"/>
      <c r="I45" s="142">
        <f t="shared" si="1"/>
        <v>1</v>
      </c>
      <c r="J45" s="295"/>
    </row>
    <row r="46" spans="1:10" ht="63.75" customHeight="1" x14ac:dyDescent="0.25">
      <c r="A46" s="1"/>
      <c r="B46" s="1"/>
      <c r="C46" s="139">
        <v>28</v>
      </c>
      <c r="D46" s="291" t="s">
        <v>87</v>
      </c>
      <c r="E46" s="134" t="str">
        <f>+IFERROR(INDEX(Hoja1!$E$2:$E$45,MATCH('Análisis Resultados'!C46,Hoja1!$H$2:$H$45,0)),"")</f>
        <v>Identificación de información necesaria para la operación de la entidad (normograma, presupuesto, talento humano, infraestructura física y tecnológica)</v>
      </c>
      <c r="F46" s="135" t="str">
        <f>+IFERROR(VLOOKUP(C46,Hoja1!$H$2:$I$45,2,0),"")</f>
        <v>En proceso</v>
      </c>
      <c r="G46" s="136" t="str">
        <f t="shared" si="0"/>
        <v>Se encuentra en proceso, pero requiere continuar con acciones dirigidas a contar con dicho aspecto de control.</v>
      </c>
      <c r="H46" s="18"/>
      <c r="I46" s="144">
        <f t="shared" si="1"/>
        <v>0.5</v>
      </c>
      <c r="J46" s="281">
        <f>+AVERAGE(I46:I52)</f>
        <v>0.9285714285714286</v>
      </c>
    </row>
    <row r="47" spans="1:10" ht="92.25" customHeight="1" x14ac:dyDescent="0.25">
      <c r="A47" s="1"/>
      <c r="B47" s="1"/>
      <c r="C47" s="139">
        <v>29</v>
      </c>
      <c r="D47" s="291"/>
      <c r="E47" s="125" t="str">
        <f>+IFERROR(INDEX(Hoja1!$E$2:$E$45,MATCH('Análisis Resultados'!C47,Hoja1!$H$2:$H$45,0)),"")</f>
        <v>Responsables de la información institucional</v>
      </c>
      <c r="F47" s="126" t="str">
        <f>+IFERROR(VLOOKUP(C47,Hoja1!$H$2:$I$45,2,0),"")</f>
        <v>Si</v>
      </c>
      <c r="G47" s="137" t="str">
        <f t="shared" si="0"/>
        <v>Existe requerimiento pero se requiere actividades  dirigidas a su mantenimiento dentro del marco de las lineas de defensa.</v>
      </c>
      <c r="H47" s="18"/>
      <c r="I47" s="145">
        <f t="shared" si="1"/>
        <v>1</v>
      </c>
      <c r="J47" s="281"/>
    </row>
    <row r="48" spans="1:10" ht="66.75" customHeight="1" x14ac:dyDescent="0.25">
      <c r="A48" s="1"/>
      <c r="B48" s="1"/>
      <c r="C48" s="139">
        <v>30</v>
      </c>
      <c r="D48" s="291"/>
      <c r="E48" s="125" t="str">
        <f>+IFERROR(INDEX(Hoja1!$E$2:$E$45,MATCH('Análisis Resultados'!C48,Hoja1!$H$2:$H$45,0)),"")</f>
        <v>Canales de comunicación con los ciudadanos</v>
      </c>
      <c r="F48" s="126" t="str">
        <f>+IFERROR(VLOOKUP(C48,Hoja1!$H$2:$I$45,2,0),"")</f>
        <v>Si</v>
      </c>
      <c r="G48" s="137" t="str">
        <f t="shared" si="0"/>
        <v>Existe requerimiento pero se requiere actividades  dirigidas a su mantenimiento dentro del marco de las lineas de defensa.</v>
      </c>
      <c r="H48" s="18"/>
      <c r="I48" s="145">
        <f t="shared" si="1"/>
        <v>1</v>
      </c>
      <c r="J48" s="281"/>
    </row>
    <row r="49" spans="1:10" ht="60" customHeight="1" x14ac:dyDescent="0.25">
      <c r="A49" s="1"/>
      <c r="B49" s="1"/>
      <c r="C49" s="139">
        <v>31</v>
      </c>
      <c r="D49" s="291"/>
      <c r="E49" s="125" t="str">
        <f>+IFERROR(INDEX(Hoja1!$E$2:$E$45,MATCH('Análisis Resultados'!C49,Hoja1!$H$2:$H$45,0)),"")</f>
        <v>Canales de comunicación o mecanismos de reporte de información a otros organismos gubernamentales o de control</v>
      </c>
      <c r="F49" s="126" t="str">
        <f>+IFERROR(VLOOKUP(C49,Hoja1!$H$2:$I$45,2,0),"")</f>
        <v>Si</v>
      </c>
      <c r="G49" s="137" t="str">
        <f t="shared" si="0"/>
        <v>Existe requerimiento pero se requiere actividades  dirigidas a su mantenimiento dentro del marco de las lineas de defensa.</v>
      </c>
      <c r="H49" s="18"/>
      <c r="I49" s="145">
        <f t="shared" si="1"/>
        <v>1</v>
      </c>
      <c r="J49" s="281"/>
    </row>
    <row r="50" spans="1:10" ht="57" customHeight="1" x14ac:dyDescent="0.25">
      <c r="A50" s="1"/>
      <c r="B50" s="1"/>
      <c r="C50" s="139">
        <v>32</v>
      </c>
      <c r="D50" s="291"/>
      <c r="E50" s="125" t="str">
        <f>+IFERROR(INDEX(Hoja1!$E$2:$E$45,MATCH('Análisis Resultados'!C50,Hoja1!$H$2:$H$45,0)),"")</f>
        <v xml:space="preserve">Lineamientos para dar tratamiento a la información de carácter reservado </v>
      </c>
      <c r="F50" s="126" t="str">
        <f>+IFERROR(VLOOKUP(C50,Hoja1!$H$2:$I$45,2,0),"")</f>
        <v>Si</v>
      </c>
      <c r="G50" s="137" t="str">
        <f t="shared" si="0"/>
        <v>Existe requerimiento pero se requiere actividades  dirigidas a su mantenimiento dentro del marco de las lineas de defensa.</v>
      </c>
      <c r="H50" s="18"/>
      <c r="I50" s="145">
        <f t="shared" si="1"/>
        <v>1</v>
      </c>
      <c r="J50" s="281"/>
    </row>
    <row r="51" spans="1:10" ht="57" customHeight="1" x14ac:dyDescent="0.25">
      <c r="A51" s="1"/>
      <c r="B51" s="1"/>
      <c r="C51" s="139">
        <v>33</v>
      </c>
      <c r="D51" s="291"/>
      <c r="E51" s="125" t="str">
        <f>+IFERROR(INDEX(Hoja1!$E$2:$E$45,MATCH('Análisis Resultados'!C51,Hoja1!$H$2:$H$45,0)),"")</f>
        <v>Identificación de información que produce en el marco de su gestión (Para los ciudadanos, organismos de control, organismos gubernamentales, entre otros)</v>
      </c>
      <c r="F51" s="126" t="str">
        <f>+IFERROR(VLOOKUP(C51,Hoja1!$H$2:$I$45,2,0),"")</f>
        <v>Si</v>
      </c>
      <c r="G51" s="137" t="str">
        <f t="shared" si="0"/>
        <v>Existe requerimiento pero se requiere actividades  dirigidas a su mantenimiento dentro del marco de las lineas de defensa.</v>
      </c>
      <c r="H51" s="18"/>
      <c r="I51" s="145">
        <f t="shared" si="1"/>
        <v>1</v>
      </c>
      <c r="J51" s="281"/>
    </row>
    <row r="52" spans="1:10" ht="45.75" thickBot="1" x14ac:dyDescent="0.3">
      <c r="A52" s="1"/>
      <c r="B52" s="1"/>
      <c r="C52" s="139">
        <v>34</v>
      </c>
      <c r="D52" s="291"/>
      <c r="E52" s="131" t="str">
        <f>+IFERROR(INDEX(Hoja1!$E$2:$E$45,MATCH('Análisis Resultados'!C52,Hoja1!$H$2:$H$45,0)),"")</f>
        <v>Si su capacidad e infraestructura lo permite, tecnologías de la información y las comunicaciones que soporten estos procesos</v>
      </c>
      <c r="F52" s="132" t="str">
        <f>+IFERROR(VLOOKUP(C52,Hoja1!$H$2:$I$45,2,0),"")</f>
        <v>Si</v>
      </c>
      <c r="G52" s="138" t="str">
        <f t="shared" si="0"/>
        <v>Existe requerimiento pero se requiere actividades  dirigidas a su mantenimiento dentro del marco de las lineas de defensa.</v>
      </c>
      <c r="H52" s="18"/>
      <c r="I52" s="146">
        <f t="shared" si="1"/>
        <v>1</v>
      </c>
      <c r="J52" s="281"/>
    </row>
    <row r="53" spans="1:10" ht="41.25" customHeight="1" x14ac:dyDescent="0.25">
      <c r="A53" s="1"/>
      <c r="B53" s="1"/>
      <c r="C53" s="139">
        <v>35</v>
      </c>
      <c r="D53" s="285" t="s">
        <v>97</v>
      </c>
      <c r="E53" s="122" t="str">
        <f>+IFERROR(INDEX(Hoja1!$E$2:$E$45,MATCH('Análisis Resultados'!C53,Hoja1!$H$2:$H$45,0)),"")</f>
        <v>La entidad participa en el  Comité Municipal de Auditoría?</v>
      </c>
      <c r="F53" s="123" t="str">
        <f>+IFERROR(VLOOKUP(C53,Hoja1!$H$2:$I$45,2,0),"")</f>
        <v>No</v>
      </c>
      <c r="G53" s="124" t="str">
        <f t="shared" si="0"/>
        <v>No se encuentra el aspecto  por lo tanto la entidad debera generar acciones dirigidas a que se cumpla con el requerimiento.</v>
      </c>
      <c r="H53" s="18"/>
      <c r="I53" s="140">
        <f t="shared" si="1"/>
        <v>0</v>
      </c>
      <c r="J53" s="288">
        <f>+AVERAGE(I53:I62)</f>
        <v>0.8</v>
      </c>
    </row>
    <row r="54" spans="1:10" ht="58.5" customHeight="1" x14ac:dyDescent="0.25">
      <c r="A54" s="1"/>
      <c r="B54" s="1"/>
      <c r="C54" s="139">
        <v>36</v>
      </c>
      <c r="D54" s="286"/>
      <c r="E54" s="125" t="str">
        <f>+IFERROR(INDEX(Hoja1!$E$2:$E$45,MATCH('Análisis Resultados'!C54,Hoja1!$H$2:$H$45,0)),"")</f>
        <v>Controlar los puntos críticos en los procesos.</v>
      </c>
      <c r="F54" s="126" t="str">
        <f>+IFERROR(VLOOKUP(C54,Hoja1!$H$2:$I$45,2,0),"")</f>
        <v>En proceso</v>
      </c>
      <c r="G54" s="127" t="str">
        <f t="shared" si="0"/>
        <v>Se encuentra en proceso, pero requiere continuar con acciones dirigidas a contar con dicho aspecto de control.</v>
      </c>
      <c r="H54" s="18"/>
      <c r="I54" s="141">
        <f t="shared" si="1"/>
        <v>0.5</v>
      </c>
      <c r="J54" s="289"/>
    </row>
    <row r="55" spans="1:10" s="1" customFormat="1" ht="84.75" customHeight="1" x14ac:dyDescent="0.25">
      <c r="C55" s="139">
        <v>37</v>
      </c>
      <c r="D55" s="286"/>
      <c r="E55" s="125" t="str">
        <f>+IFERROR(INDEX(Hoja1!$E$2:$E$45,MATCH('Análisis Resultados'!C55,Hoja1!$H$2:$H$45,0)),"")</f>
        <v>Diseñar acciones adecuadas para controlar los problemas que afectan el cumplimiento de las metas y objetivos institucionales (riesgos).</v>
      </c>
      <c r="F55" s="126" t="str">
        <f>+IFERROR(VLOOKUP(C55,Hoja1!$H$2:$I$45,2,0),"")</f>
        <v>En proceso</v>
      </c>
      <c r="G55" s="127" t="str">
        <f t="shared" si="0"/>
        <v>Se encuentra en proceso, pero requiere continuar con acciones dirigidas a contar con dicho aspecto de control.</v>
      </c>
      <c r="H55" s="6"/>
      <c r="I55" s="141">
        <f t="shared" si="1"/>
        <v>0.5</v>
      </c>
      <c r="J55" s="289"/>
    </row>
    <row r="56" spans="1:10" s="1" customFormat="1" ht="78.75" customHeight="1" x14ac:dyDescent="0.25">
      <c r="C56" s="139">
        <v>38</v>
      </c>
      <c r="D56" s="286"/>
      <c r="E56" s="125" t="str">
        <f>+IFERROR(INDEX(Hoja1!$E$2:$E$45,MATCH('Análisis Resultados'!C56,Hoja1!$H$2:$H$45,0)),"")</f>
        <v>Mecanismos de evaluación de la gestión (cronogramas, indicadores, listas de chequeo u otros)</v>
      </c>
      <c r="F56" s="126" t="str">
        <f>+IFERROR(VLOOKUP(C56,Hoja1!$H$2:$I$45,2,0),"")</f>
        <v>Si</v>
      </c>
      <c r="G56" s="127" t="str">
        <f t="shared" si="0"/>
        <v>Existe requerimiento pero se requiere actividades  dirigidas a su mantenimiento dentro del marco de las lineas de defensa.</v>
      </c>
      <c r="H56" s="6"/>
      <c r="I56" s="141">
        <f t="shared" si="1"/>
        <v>1</v>
      </c>
      <c r="J56" s="289"/>
    </row>
    <row r="57" spans="1:10" s="1" customFormat="1" ht="54.75" customHeight="1" x14ac:dyDescent="0.25">
      <c r="C57" s="139">
        <v>39</v>
      </c>
      <c r="D57" s="286"/>
      <c r="E57" s="125" t="str">
        <f>+IFERROR(INDEX(Hoja1!$E$2:$E$45,MATCH('Análisis Resultados'!C57,Hoja1!$H$2:$H$45,0)),"")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7" s="126" t="str">
        <f>+IFERROR(VLOOKUP(C57,Hoja1!$H$2:$I$45,2,0),"")</f>
        <v>Si</v>
      </c>
      <c r="G57" s="127" t="str">
        <f t="shared" si="0"/>
        <v>Existe requerimiento pero se requiere actividades  dirigidas a su mantenimiento dentro del marco de las lineas de defensa.</v>
      </c>
      <c r="H57" s="6"/>
      <c r="I57" s="141">
        <f t="shared" si="1"/>
        <v>1</v>
      </c>
      <c r="J57" s="289"/>
    </row>
    <row r="58" spans="1:10" s="1" customFormat="1" ht="68.25" customHeight="1" x14ac:dyDescent="0.25">
      <c r="C58" s="139">
        <v>40</v>
      </c>
      <c r="D58" s="286"/>
      <c r="E58" s="125" t="str">
        <f>+IFERROR(INDEX(Hoja1!$E$2:$E$45,MATCH('Análisis Resultados'!C58,Hoja1!$H$2:$H$45,0)),"")</f>
        <v>Medidas correctivas en caso de detectarse deficiencias en los ejercicios de evaluación, seguimiento o auditoría</v>
      </c>
      <c r="F58" s="126" t="str">
        <f>+IFERROR(VLOOKUP(C58,Hoja1!$H$2:$I$45,2,0),"")</f>
        <v>Si</v>
      </c>
      <c r="G58" s="127" t="str">
        <f t="shared" si="0"/>
        <v>Existe requerimiento pero se requiere actividades  dirigidas a su mantenimiento dentro del marco de las lineas de defensa.</v>
      </c>
      <c r="H58" s="6"/>
      <c r="I58" s="141">
        <f t="shared" si="1"/>
        <v>1</v>
      </c>
      <c r="J58" s="289"/>
    </row>
    <row r="59" spans="1:10" s="1" customFormat="1" ht="45" customHeight="1" x14ac:dyDescent="0.25">
      <c r="C59" s="139">
        <v>41</v>
      </c>
      <c r="D59" s="286"/>
      <c r="E59" s="125" t="str">
        <f>+IFERROR(INDEX(Hoja1!$E$2:$E$45,MATCH('Análisis Resultados'!C59,Hoja1!$H$2:$H$45,0)),"")</f>
        <v>Seguimiento a los planes de mejoramiento suscritos con instancias de control internas o externas</v>
      </c>
      <c r="F59" s="126" t="str">
        <f>+IFERROR(VLOOKUP(C59,Hoja1!$H$2:$I$45,2,0),"")</f>
        <v>Si</v>
      </c>
      <c r="G59" s="127" t="str">
        <f t="shared" si="0"/>
        <v>Existe requerimiento pero se requiere actividades  dirigidas a su mantenimiento dentro del marco de las lineas de defensa.</v>
      </c>
      <c r="H59" s="6"/>
      <c r="I59" s="141">
        <f t="shared" si="1"/>
        <v>1</v>
      </c>
      <c r="J59" s="289"/>
    </row>
    <row r="60" spans="1:10" s="1" customFormat="1" ht="51.75" customHeight="1" x14ac:dyDescent="0.25">
      <c r="C60" s="139">
        <v>42</v>
      </c>
      <c r="D60" s="286"/>
      <c r="E60" s="125" t="str">
        <f>+IFERROR(INDEX(Hoja1!$E$2:$E$45,MATCH('Análisis Resultados'!C60,Hoja1!$H$2:$H$45,0)),"")</f>
        <v>Evitar que los problemas (riesgos) obstaculicen el cumplimiento de los objetivos.</v>
      </c>
      <c r="F60" s="126" t="str">
        <f>+IFERROR(VLOOKUP(C60,Hoja1!$H$2:$I$45,2,0),"")</f>
        <v>Si</v>
      </c>
      <c r="G60" s="127" t="str">
        <f t="shared" si="0"/>
        <v>Existe requerimiento pero se requiere actividades  dirigidas a su mantenimiento dentro del marco de las lineas de defensa.</v>
      </c>
      <c r="H60" s="6"/>
      <c r="I60" s="141">
        <f t="shared" si="1"/>
        <v>1</v>
      </c>
      <c r="J60" s="289"/>
    </row>
    <row r="61" spans="1:10" s="1" customFormat="1" ht="84" customHeight="1" x14ac:dyDescent="0.25">
      <c r="C61" s="139">
        <v>43</v>
      </c>
      <c r="D61" s="286"/>
      <c r="E61" s="125" t="str">
        <f>+IFERROR(INDEX(Hoja1!$E$2:$E$45,MATCH('Análisis Resultados'!C61,Hoja1!$H$2:$H$45,0)),"")</f>
        <v>Ejecutar las acciones de acuerdo a como se diseñaron previamente.</v>
      </c>
      <c r="F61" s="126" t="str">
        <f>+IFERROR(VLOOKUP(C61,Hoja1!$H$2:$I$45,2,0),"")</f>
        <v>Si</v>
      </c>
      <c r="G61" s="127" t="str">
        <f t="shared" si="0"/>
        <v>Existe requerimiento pero se requiere actividades  dirigidas a su mantenimiento dentro del marco de las lineas de defensa.</v>
      </c>
      <c r="H61" s="6"/>
      <c r="I61" s="141">
        <f t="shared" si="1"/>
        <v>1</v>
      </c>
      <c r="J61" s="289"/>
    </row>
    <row r="62" spans="1:10" s="1" customFormat="1" ht="60" customHeight="1" thickBot="1" x14ac:dyDescent="0.3">
      <c r="C62" s="139">
        <v>44</v>
      </c>
      <c r="D62" s="287"/>
      <c r="E62" s="128" t="str">
        <f>+IFERROR(INDEX(Hoja1!$E$2:$E$45,MATCH('Análisis Resultados'!C62,Hoja1!$H$2:$H$45,0)),"")</f>
        <v>No se gestionan los problemas que afectan el cumplimiento de las funciones y objetivos institucionales(riesgos).</v>
      </c>
      <c r="F62" s="129" t="str">
        <f>+IFERROR(VLOOKUP(C62,Hoja1!$H$2:$I$45,2,0),"")</f>
        <v>Si</v>
      </c>
      <c r="G62" s="130" t="str">
        <f t="shared" si="0"/>
        <v>Existe requerimiento pero se requiere actividades  dirigidas a su mantenimiento dentro del marco de las lineas de defensa.</v>
      </c>
      <c r="H62" s="6"/>
      <c r="I62" s="142">
        <f t="shared" si="1"/>
        <v>1</v>
      </c>
      <c r="J62" s="290"/>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zoomScale="55" zoomScaleNormal="55" workbookViewId="0">
      <selection activeCell="I32" sqref="I32:M32"/>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7" t="s">
        <v>124</v>
      </c>
      <c r="F4" s="309" t="s">
        <v>191</v>
      </c>
      <c r="G4" s="309"/>
      <c r="H4" s="309"/>
      <c r="I4" s="309"/>
      <c r="J4" s="309"/>
      <c r="K4" s="309"/>
      <c r="L4" s="309"/>
      <c r="M4" s="309"/>
      <c r="N4" s="7"/>
      <c r="O4" s="7"/>
      <c r="P4" s="8"/>
      <c r="Q4" s="1"/>
    </row>
    <row r="5" spans="1:17" ht="45.75" customHeight="1" x14ac:dyDescent="0.3">
      <c r="A5" s="1"/>
      <c r="B5" s="5"/>
      <c r="C5" s="6"/>
      <c r="D5" s="6"/>
      <c r="E5" s="308"/>
      <c r="F5" s="309"/>
      <c r="G5" s="309"/>
      <c r="H5" s="309"/>
      <c r="I5" s="309"/>
      <c r="J5" s="309"/>
      <c r="K5" s="309"/>
      <c r="L5" s="309"/>
      <c r="M5" s="309"/>
      <c r="N5" s="7"/>
      <c r="O5" s="7"/>
      <c r="P5" s="8"/>
      <c r="Q5" s="1"/>
    </row>
    <row r="6" spans="1:17" ht="66.75" customHeight="1" x14ac:dyDescent="0.3">
      <c r="A6" s="1"/>
      <c r="B6" s="5"/>
      <c r="C6" s="6"/>
      <c r="D6" s="6"/>
      <c r="E6" s="96" t="s">
        <v>125</v>
      </c>
      <c r="F6" s="310" t="s">
        <v>192</v>
      </c>
      <c r="G6" s="311"/>
      <c r="H6" s="311"/>
      <c r="I6" s="311"/>
      <c r="J6" s="311"/>
      <c r="K6" s="311"/>
      <c r="L6" s="311"/>
      <c r="M6" s="312"/>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3" t="s">
        <v>126</v>
      </c>
      <c r="J8" s="314"/>
      <c r="K8" s="315"/>
      <c r="L8" s="6"/>
      <c r="M8" s="147">
        <f>+AVERAGE(G26,G28,G30,G32,G34)</f>
        <v>0.83238095238095244</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6" t="s">
        <v>127</v>
      </c>
      <c r="D18" s="317"/>
      <c r="E18" s="317"/>
      <c r="F18" s="317"/>
      <c r="G18" s="317"/>
      <c r="H18" s="317"/>
      <c r="I18" s="317"/>
      <c r="J18" s="317"/>
      <c r="K18" s="317"/>
      <c r="L18" s="317"/>
      <c r="M18" s="318"/>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thickBot="1" x14ac:dyDescent="0.3">
      <c r="A20" s="1"/>
      <c r="B20" s="5"/>
      <c r="C20" s="319" t="s">
        <v>128</v>
      </c>
      <c r="D20" s="320"/>
      <c r="E20" s="150" t="s">
        <v>39</v>
      </c>
      <c r="F20" s="321" t="s">
        <v>236</v>
      </c>
      <c r="G20" s="321"/>
      <c r="H20" s="321"/>
      <c r="I20" s="321"/>
      <c r="J20" s="321"/>
      <c r="K20" s="321"/>
      <c r="L20" s="321"/>
      <c r="M20" s="322"/>
      <c r="N20" s="15"/>
      <c r="O20" s="15"/>
      <c r="P20" s="8"/>
      <c r="Q20" s="1"/>
    </row>
    <row r="21" spans="1:17" ht="126.75" customHeight="1" thickBot="1" x14ac:dyDescent="0.3">
      <c r="A21" s="1"/>
      <c r="B21" s="5"/>
      <c r="C21" s="303" t="s">
        <v>129</v>
      </c>
      <c r="D21" s="304"/>
      <c r="E21" s="151" t="s">
        <v>39</v>
      </c>
      <c r="F21" s="323" t="s">
        <v>237</v>
      </c>
      <c r="G21" s="323"/>
      <c r="H21" s="323"/>
      <c r="I21" s="323"/>
      <c r="J21" s="323"/>
      <c r="K21" s="323"/>
      <c r="L21" s="323"/>
      <c r="M21" s="324"/>
      <c r="N21" s="15"/>
      <c r="O21" s="15"/>
      <c r="P21" s="8"/>
      <c r="Q21" s="1"/>
    </row>
    <row r="22" spans="1:17" ht="151.5" customHeight="1" thickBot="1" x14ac:dyDescent="0.3">
      <c r="A22" s="1"/>
      <c r="B22" s="5"/>
      <c r="C22" s="305" t="s">
        <v>130</v>
      </c>
      <c r="D22" s="306"/>
      <c r="E22" s="152" t="s">
        <v>39</v>
      </c>
      <c r="F22" s="321" t="s">
        <v>238</v>
      </c>
      <c r="G22" s="321"/>
      <c r="H22" s="321"/>
      <c r="I22" s="321"/>
      <c r="J22" s="321"/>
      <c r="K22" s="321"/>
      <c r="L22" s="321"/>
      <c r="M22" s="322"/>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131</v>
      </c>
      <c r="D24" s="100"/>
      <c r="E24" s="99" t="s">
        <v>132</v>
      </c>
      <c r="F24" s="100"/>
      <c r="G24" s="99" t="s">
        <v>133</v>
      </c>
      <c r="H24" s="100"/>
      <c r="I24" s="299" t="s">
        <v>134</v>
      </c>
      <c r="J24" s="299"/>
      <c r="K24" s="299"/>
      <c r="L24" s="299"/>
      <c r="M24" s="299"/>
      <c r="N24" s="33"/>
      <c r="O24" s="33"/>
      <c r="P24" s="8"/>
      <c r="Q24" s="17"/>
    </row>
    <row r="25" spans="1:17" ht="13.5" customHeight="1" thickBot="1" x14ac:dyDescent="0.3">
      <c r="A25" s="1"/>
      <c r="B25" s="5"/>
      <c r="C25" s="32"/>
      <c r="D25" s="18"/>
      <c r="E25" s="18"/>
      <c r="F25" s="18"/>
      <c r="G25" s="18"/>
      <c r="H25" s="18"/>
      <c r="I25" s="301"/>
      <c r="J25" s="301"/>
      <c r="K25" s="301"/>
      <c r="L25" s="301"/>
      <c r="M25" s="301"/>
      <c r="N25" s="34"/>
      <c r="O25" s="34"/>
      <c r="P25" s="8"/>
      <c r="Q25" s="1"/>
    </row>
    <row r="26" spans="1:17" ht="155.25" customHeight="1" thickBot="1" x14ac:dyDescent="0.3">
      <c r="A26" s="1"/>
      <c r="B26" s="5"/>
      <c r="C26" s="90" t="s">
        <v>32</v>
      </c>
      <c r="D26" s="19"/>
      <c r="E26" s="148" t="str">
        <f>+IF(Hoja1!K2&gt;=0.5,"Si","No")</f>
        <v>Si</v>
      </c>
      <c r="F26" s="20"/>
      <c r="G26" s="149">
        <f>+Hoja1!K2</f>
        <v>0.83333333333333337</v>
      </c>
      <c r="H26" s="20"/>
      <c r="I26" s="300" t="s">
        <v>239</v>
      </c>
      <c r="J26" s="300"/>
      <c r="K26" s="300"/>
      <c r="L26" s="300"/>
      <c r="M26" s="300"/>
      <c r="N26" s="35"/>
      <c r="O26" s="36"/>
      <c r="P26" s="21"/>
      <c r="Q26" s="22"/>
    </row>
    <row r="27" spans="1:17" ht="27" thickBot="1" x14ac:dyDescent="0.45">
      <c r="A27" s="1"/>
      <c r="B27" s="5"/>
      <c r="C27" s="91"/>
      <c r="D27" s="23"/>
      <c r="E27" s="98"/>
      <c r="F27" s="18"/>
      <c r="G27" s="24"/>
      <c r="H27" s="18"/>
      <c r="I27" s="302"/>
      <c r="J27" s="302"/>
      <c r="K27" s="302"/>
      <c r="L27" s="302"/>
      <c r="M27" s="302"/>
      <c r="N27" s="37"/>
      <c r="O27" s="37"/>
      <c r="P27" s="8"/>
      <c r="Q27" s="1"/>
    </row>
    <row r="28" spans="1:17" ht="111.75" customHeight="1" thickBot="1" x14ac:dyDescent="0.3">
      <c r="A28" s="1"/>
      <c r="B28" s="5"/>
      <c r="C28" s="92" t="s">
        <v>135</v>
      </c>
      <c r="D28" s="19"/>
      <c r="E28" s="148" t="str">
        <f>+IF(Hoja1!K14&gt;=0.5,"Si","No")</f>
        <v>Si</v>
      </c>
      <c r="F28" s="18"/>
      <c r="G28" s="149">
        <f>+Hoja1!K14</f>
        <v>0.8</v>
      </c>
      <c r="H28" s="18"/>
      <c r="I28" s="300" t="s">
        <v>241</v>
      </c>
      <c r="J28" s="300"/>
      <c r="K28" s="300"/>
      <c r="L28" s="300"/>
      <c r="M28" s="300"/>
      <c r="N28" s="35"/>
      <c r="O28" s="35"/>
      <c r="P28" s="8"/>
      <c r="Q28" s="1"/>
    </row>
    <row r="29" spans="1:17" ht="27" thickBot="1" x14ac:dyDescent="0.45">
      <c r="A29" s="1"/>
      <c r="B29" s="5"/>
      <c r="C29" s="91"/>
      <c r="D29" s="23"/>
      <c r="E29" s="98"/>
      <c r="F29" s="18"/>
      <c r="G29" s="24"/>
      <c r="H29" s="18"/>
      <c r="I29" s="302"/>
      <c r="J29" s="302"/>
      <c r="K29" s="302"/>
      <c r="L29" s="302"/>
      <c r="M29" s="302"/>
      <c r="N29" s="37"/>
      <c r="O29" s="37"/>
      <c r="P29" s="8"/>
      <c r="Q29" s="1"/>
    </row>
    <row r="30" spans="1:17" ht="123" customHeight="1" thickBot="1" x14ac:dyDescent="0.3">
      <c r="A30" s="1"/>
      <c r="B30" s="5"/>
      <c r="C30" s="93" t="s">
        <v>136</v>
      </c>
      <c r="D30" s="19"/>
      <c r="E30" s="148" t="str">
        <f>+IF(Hoja1!K24&gt;=0.5,"Si","No")</f>
        <v>Si</v>
      </c>
      <c r="F30" s="18"/>
      <c r="G30" s="149">
        <f>+Hoja1!K24</f>
        <v>0.8</v>
      </c>
      <c r="H30" s="18"/>
      <c r="I30" s="298" t="s">
        <v>240</v>
      </c>
      <c r="J30" s="298"/>
      <c r="K30" s="298"/>
      <c r="L30" s="298"/>
      <c r="M30" s="298"/>
      <c r="N30" s="35"/>
      <c r="O30" s="35"/>
      <c r="P30" s="8"/>
      <c r="Q30" s="1"/>
    </row>
    <row r="31" spans="1:17" ht="27" thickBot="1" x14ac:dyDescent="0.45">
      <c r="A31" s="1"/>
      <c r="B31" s="5"/>
      <c r="C31" s="91"/>
      <c r="D31" s="23"/>
      <c r="E31" s="98"/>
      <c r="F31" s="18"/>
      <c r="G31" s="24"/>
      <c r="H31" s="18"/>
      <c r="I31" s="302"/>
      <c r="J31" s="302"/>
      <c r="K31" s="302"/>
      <c r="L31" s="302"/>
      <c r="M31" s="302"/>
      <c r="N31" s="37"/>
      <c r="O31" s="37"/>
      <c r="P31" s="8"/>
      <c r="Q31" s="1"/>
    </row>
    <row r="32" spans="1:17" ht="171" customHeight="1" thickBot="1" x14ac:dyDescent="0.3">
      <c r="A32" s="1"/>
      <c r="B32" s="5"/>
      <c r="C32" s="94" t="s">
        <v>87</v>
      </c>
      <c r="D32" s="19"/>
      <c r="E32" s="148" t="str">
        <f>+IF(Hoja1!K29&gt;=0.5,"Si","No")</f>
        <v>Si</v>
      </c>
      <c r="F32" s="18"/>
      <c r="G32" s="149">
        <f>+Hoja1!K29</f>
        <v>0.9285714285714286</v>
      </c>
      <c r="H32" s="18"/>
      <c r="I32" s="298" t="s">
        <v>242</v>
      </c>
      <c r="J32" s="298"/>
      <c r="K32" s="298"/>
      <c r="L32" s="298"/>
      <c r="M32" s="298"/>
      <c r="N32" s="35"/>
      <c r="O32" s="35"/>
      <c r="P32" s="8"/>
      <c r="Q32" s="1"/>
    </row>
    <row r="33" spans="1:17" ht="27" thickBot="1" x14ac:dyDescent="0.45">
      <c r="A33" s="1"/>
      <c r="B33" s="5"/>
      <c r="C33" s="91"/>
      <c r="D33" s="23"/>
      <c r="E33" s="98"/>
      <c r="F33" s="18"/>
      <c r="G33" s="24"/>
      <c r="H33" s="18"/>
      <c r="I33" s="302"/>
      <c r="J33" s="302"/>
      <c r="K33" s="302"/>
      <c r="L33" s="302"/>
      <c r="M33" s="302"/>
      <c r="N33" s="37"/>
      <c r="O33" s="37"/>
      <c r="P33" s="8"/>
      <c r="Q33" s="1"/>
    </row>
    <row r="34" spans="1:17" ht="164.25" customHeight="1" x14ac:dyDescent="0.25">
      <c r="A34" s="1"/>
      <c r="B34" s="5"/>
      <c r="C34" s="95" t="s">
        <v>137</v>
      </c>
      <c r="D34" s="19"/>
      <c r="E34" s="97" t="str">
        <f>+IF(Hoja1!K36&gt;=0.5,"Si","No")</f>
        <v>Si</v>
      </c>
      <c r="F34" s="18"/>
      <c r="G34" s="149">
        <f>+Hoja1!K36</f>
        <v>0.8</v>
      </c>
      <c r="H34" s="18"/>
      <c r="I34" s="298" t="s">
        <v>243</v>
      </c>
      <c r="J34" s="298"/>
      <c r="K34" s="298"/>
      <c r="L34" s="298"/>
      <c r="M34" s="298"/>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3" t="s">
        <v>25</v>
      </c>
      <c r="B1" s="153" t="s">
        <v>6</v>
      </c>
      <c r="C1" s="154" t="s">
        <v>8</v>
      </c>
      <c r="D1" s="155" t="s">
        <v>26</v>
      </c>
      <c r="E1" s="155" t="s">
        <v>27</v>
      </c>
      <c r="F1" s="155" t="s">
        <v>138</v>
      </c>
      <c r="G1" s="156" t="s">
        <v>139</v>
      </c>
      <c r="H1" s="156" t="s">
        <v>140</v>
      </c>
      <c r="I1" s="156" t="s">
        <v>119</v>
      </c>
      <c r="J1" s="156" t="s">
        <v>141</v>
      </c>
      <c r="K1" s="156" t="s">
        <v>142</v>
      </c>
    </row>
    <row r="2" spans="1:11" x14ac:dyDescent="0.25">
      <c r="A2" s="157" t="s">
        <v>143</v>
      </c>
      <c r="B2" s="157" t="str">
        <f>+VLOOKUP(A2,'Estado SCI'!$A$16:$C$59,3,0)</f>
        <v>AMBIENTE DE CONTROL</v>
      </c>
      <c r="C2" s="157" t="s">
        <v>33</v>
      </c>
      <c r="D2" s="157" t="s">
        <v>34</v>
      </c>
      <c r="E2" s="157" t="s">
        <v>35</v>
      </c>
      <c r="F2" s="157" t="str">
        <f>+VLOOKUP(A2,'Estado SCI'!$A$16:$I$59,9,0)</f>
        <v>Mantenimiento del control</v>
      </c>
      <c r="G2" s="157">
        <f>+VLOOKUP(A2,'Estado SCI'!$A$16:$L$59,12,0)</f>
        <v>20.123000000000001</v>
      </c>
      <c r="H2" s="157">
        <f t="shared" ref="H2:H45" si="0">+_xlfn.RANK.EQ(G2,$G$2:$G$45,1)</f>
        <v>4</v>
      </c>
      <c r="I2" s="157" t="str">
        <f>+IF(VLOOKUP(A2,'Estado SCI'!$A$16:$G$59,7,0)="","",VLOOKUP(A2,'Estado SCI'!$A$16:$G$59,7,0))</f>
        <v>Si</v>
      </c>
      <c r="J2" s="158">
        <f>+IF(I2="Si",1,IF(I2="En proceso",0.5,0))</f>
        <v>1</v>
      </c>
      <c r="K2" s="159">
        <f t="shared" ref="K2:K45" si="1">+AVERAGEIF($B$2:$B$45,B2,$J$2:$J$45)</f>
        <v>0.83333333333333337</v>
      </c>
    </row>
    <row r="3" spans="1:11" x14ac:dyDescent="0.25">
      <c r="A3" s="157" t="s">
        <v>144</v>
      </c>
      <c r="B3" s="157" t="s">
        <v>32</v>
      </c>
      <c r="C3" s="157" t="s">
        <v>33</v>
      </c>
      <c r="D3" s="157" t="s">
        <v>37</v>
      </c>
      <c r="E3" s="157" t="s">
        <v>38</v>
      </c>
      <c r="F3" s="157" t="str">
        <f>+VLOOKUP(A3,'Estado SCI'!$A$16:$I$59,9,0)</f>
        <v>Mantenimiento del control</v>
      </c>
      <c r="G3" s="157">
        <f>+VLOOKUP(A3,'Estado SCI'!$A$16:$L$59,12,0)</f>
        <v>20.1234</v>
      </c>
      <c r="H3" s="157">
        <f t="shared" si="0"/>
        <v>5</v>
      </c>
      <c r="I3" s="157" t="str">
        <f>+IF(VLOOKUP(A3,'Estado SCI'!$A$16:$G$59,7,0)="","",VLOOKUP(A3,'Estado SCI'!$A$16:$G$59,7,0))</f>
        <v>Si</v>
      </c>
      <c r="J3" s="158">
        <f t="shared" ref="J3:J45" si="2">+IF(I3="Si",1,IF(I3="En proceso",0.5,0))</f>
        <v>1</v>
      </c>
      <c r="K3" s="159">
        <f t="shared" si="1"/>
        <v>0.83333333333333337</v>
      </c>
    </row>
    <row r="4" spans="1:11" x14ac:dyDescent="0.25">
      <c r="A4" s="157" t="s">
        <v>145</v>
      </c>
      <c r="B4" s="157" t="s">
        <v>32</v>
      </c>
      <c r="C4" s="157" t="s">
        <v>33</v>
      </c>
      <c r="D4" s="157" t="s">
        <v>40</v>
      </c>
      <c r="E4" s="157" t="s">
        <v>41</v>
      </c>
      <c r="F4" s="157" t="str">
        <f>+VLOOKUP(A4,'Estado SCI'!$A$16:$I$59,9,0)</f>
        <v>Mantenimiento del control</v>
      </c>
      <c r="G4" s="157">
        <f>+VLOOKUP(A4,'Estado SCI'!$A$16:$L$59,12,0)</f>
        <v>20.123449999999998</v>
      </c>
      <c r="H4" s="157">
        <f t="shared" si="0"/>
        <v>6</v>
      </c>
      <c r="I4" s="157" t="str">
        <f>+IF(VLOOKUP(A4,'Estado SCI'!$A$16:$G$59,7,0)="","",VLOOKUP(A4,'Estado SCI'!$A$16:$G$59,7,0))</f>
        <v>Si</v>
      </c>
      <c r="J4" s="158">
        <f t="shared" si="2"/>
        <v>1</v>
      </c>
      <c r="K4" s="159">
        <f t="shared" si="1"/>
        <v>0.83333333333333337</v>
      </c>
    </row>
    <row r="5" spans="1:11" x14ac:dyDescent="0.25">
      <c r="A5" s="157" t="s">
        <v>146</v>
      </c>
      <c r="B5" s="157" t="s">
        <v>32</v>
      </c>
      <c r="C5" s="157" t="s">
        <v>33</v>
      </c>
      <c r="D5" s="157" t="s">
        <v>42</v>
      </c>
      <c r="E5" s="157" t="s">
        <v>43</v>
      </c>
      <c r="F5" s="157" t="str">
        <f>+VLOOKUP(A5,'Estado SCI'!$A$16:$I$59,9,0)</f>
        <v>Mantenimiento del control</v>
      </c>
      <c r="G5" s="157">
        <f>+VLOOKUP(A5,'Estado SCI'!$A$16:$L$59,12,0)</f>
        <v>20.123456000000001</v>
      </c>
      <c r="H5" s="157">
        <f t="shared" si="0"/>
        <v>7</v>
      </c>
      <c r="I5" s="157" t="str">
        <f>+IF(VLOOKUP(A5,'Estado SCI'!$A$16:$G$59,7,0)="","",VLOOKUP(A5,'Estado SCI'!$A$16:$G$59,7,0))</f>
        <v>Si</v>
      </c>
      <c r="J5" s="158">
        <f t="shared" si="2"/>
        <v>1</v>
      </c>
      <c r="K5" s="159">
        <f t="shared" si="1"/>
        <v>0.83333333333333337</v>
      </c>
    </row>
    <row r="6" spans="1:11" x14ac:dyDescent="0.25">
      <c r="A6" s="157" t="s">
        <v>147</v>
      </c>
      <c r="B6" s="157" t="s">
        <v>32</v>
      </c>
      <c r="C6" s="157" t="s">
        <v>33</v>
      </c>
      <c r="D6" s="157" t="s">
        <v>44</v>
      </c>
      <c r="E6" s="157" t="s">
        <v>45</v>
      </c>
      <c r="F6" s="157" t="str">
        <f>+VLOOKUP(A6,'Estado SCI'!$A$16:$I$59,9,0)</f>
        <v>Oportunidad de mejora</v>
      </c>
      <c r="G6" s="157">
        <f>+VLOOKUP(A6,'Estado SCI'!$A$16:$L$59,12,0)</f>
        <v>10.12345678</v>
      </c>
      <c r="H6" s="157">
        <f t="shared" si="0"/>
        <v>2</v>
      </c>
      <c r="I6" s="157" t="str">
        <f>+IF(VLOOKUP(A6,'Estado SCI'!$A$16:$G$59,7,0)="","",VLOOKUP(A6,'Estado SCI'!$A$16:$G$59,7,0))</f>
        <v>En proceso</v>
      </c>
      <c r="J6" s="158">
        <f t="shared" si="2"/>
        <v>0.5</v>
      </c>
      <c r="K6" s="159">
        <f t="shared" si="1"/>
        <v>0.83333333333333337</v>
      </c>
    </row>
    <row r="7" spans="1:11" x14ac:dyDescent="0.25">
      <c r="A7" s="157" t="s">
        <v>148</v>
      </c>
      <c r="B7" s="157" t="s">
        <v>32</v>
      </c>
      <c r="C7" s="157" t="s">
        <v>33</v>
      </c>
      <c r="D7" s="157" t="s">
        <v>46</v>
      </c>
      <c r="E7" s="157" t="s">
        <v>47</v>
      </c>
      <c r="F7" s="157" t="str">
        <f>+VLOOKUP(A7,'Estado SCI'!$A$16:$I$59,9,0)</f>
        <v>Oportunidad de mejora</v>
      </c>
      <c r="G7" s="157">
        <f>+VLOOKUP(A7,'Estado SCI'!$A$16:$L$59,12,0)</f>
        <v>10.123456789</v>
      </c>
      <c r="H7" s="157">
        <f t="shared" si="0"/>
        <v>3</v>
      </c>
      <c r="I7" s="157" t="str">
        <f>+IF(VLOOKUP(A7,'Estado SCI'!$A$16:$G$59,7,0)="","",VLOOKUP(A7,'Estado SCI'!$A$16:$G$59,7,0))</f>
        <v>En proceso</v>
      </c>
      <c r="J7" s="158">
        <f t="shared" si="2"/>
        <v>0.5</v>
      </c>
      <c r="K7" s="159">
        <f t="shared" si="1"/>
        <v>0.83333333333333337</v>
      </c>
    </row>
    <row r="8" spans="1:11" x14ac:dyDescent="0.25">
      <c r="A8" s="157" t="s">
        <v>149</v>
      </c>
      <c r="B8" s="157" t="s">
        <v>32</v>
      </c>
      <c r="C8" s="157" t="s">
        <v>33</v>
      </c>
      <c r="D8" s="157" t="s">
        <v>48</v>
      </c>
      <c r="E8" s="157" t="s">
        <v>49</v>
      </c>
      <c r="F8" s="157" t="str">
        <f>+VLOOKUP(A8,'Estado SCI'!$A$16:$I$59,9,0)</f>
        <v>Mantenimiento del control</v>
      </c>
      <c r="G8" s="157">
        <f>+VLOOKUP(A8,'Estado SCI'!$A$16:$L$59,12,0)</f>
        <v>20.1234567891</v>
      </c>
      <c r="H8" s="157">
        <f t="shared" si="0"/>
        <v>8</v>
      </c>
      <c r="I8" s="157" t="str">
        <f>+IF(VLOOKUP(A8,'Estado SCI'!$A$16:$G$59,7,0)="","",VLOOKUP(A8,'Estado SCI'!$A$16:$G$59,7,0))</f>
        <v>Si</v>
      </c>
      <c r="J8" s="158">
        <f t="shared" si="2"/>
        <v>1</v>
      </c>
      <c r="K8" s="159">
        <f t="shared" si="1"/>
        <v>0.83333333333333337</v>
      </c>
    </row>
    <row r="9" spans="1:11" x14ac:dyDescent="0.25">
      <c r="A9" s="157" t="s">
        <v>150</v>
      </c>
      <c r="B9" s="157" t="s">
        <v>32</v>
      </c>
      <c r="C9" s="157" t="s">
        <v>33</v>
      </c>
      <c r="D9" s="157" t="s">
        <v>50</v>
      </c>
      <c r="E9" s="157" t="s">
        <v>51</v>
      </c>
      <c r="F9" s="157" t="str">
        <f>+VLOOKUP(A9,'Estado SCI'!$A$16:$I$59,9,0)</f>
        <v>Mantenimiento del control</v>
      </c>
      <c r="G9" s="157">
        <f>+VLOOKUP(A9,'Estado SCI'!$A$16:$L$59,12,0)</f>
        <v>20.123456789119999</v>
      </c>
      <c r="H9" s="157">
        <f t="shared" si="0"/>
        <v>9</v>
      </c>
      <c r="I9" s="157" t="str">
        <f>+IF(VLOOKUP(A9,'Estado SCI'!$A$16:$G$59,7,0)="","",VLOOKUP(A9,'Estado SCI'!$A$16:$G$59,7,0))</f>
        <v>Si</v>
      </c>
      <c r="J9" s="158">
        <f t="shared" si="2"/>
        <v>1</v>
      </c>
      <c r="K9" s="159">
        <f t="shared" si="1"/>
        <v>0.83333333333333337</v>
      </c>
    </row>
    <row r="10" spans="1:11" x14ac:dyDescent="0.25">
      <c r="A10" s="157" t="s">
        <v>151</v>
      </c>
      <c r="B10" s="157" t="s">
        <v>32</v>
      </c>
      <c r="C10" s="157" t="s">
        <v>33</v>
      </c>
      <c r="D10" s="157" t="s">
        <v>52</v>
      </c>
      <c r="E10" s="157" t="s">
        <v>53</v>
      </c>
      <c r="F10" s="157" t="str">
        <f>+VLOOKUP(A10,'Estado SCI'!$A$16:$I$59,9,0)</f>
        <v>Deficiencia de control</v>
      </c>
      <c r="G10" s="157">
        <f>+VLOOKUP(A10,'Estado SCI'!$A$16:$L$59,12,0)</f>
        <v>0.123456789123</v>
      </c>
      <c r="H10" s="157">
        <f t="shared" si="0"/>
        <v>1</v>
      </c>
      <c r="I10" s="157" t="str">
        <f>+IF(VLOOKUP(A10,'Estado SCI'!$A$16:$G$59,7,0)="","",VLOOKUP(A10,'Estado SCI'!$A$16:$G$59,7,0))</f>
        <v>No</v>
      </c>
      <c r="J10" s="158">
        <f t="shared" si="2"/>
        <v>0</v>
      </c>
      <c r="K10" s="159">
        <f t="shared" si="1"/>
        <v>0.83333333333333337</v>
      </c>
    </row>
    <row r="11" spans="1:11" x14ac:dyDescent="0.25">
      <c r="A11" s="157" t="s">
        <v>152</v>
      </c>
      <c r="B11" s="157" t="s">
        <v>32</v>
      </c>
      <c r="C11" s="157" t="s">
        <v>33</v>
      </c>
      <c r="D11" s="157" t="s">
        <v>54</v>
      </c>
      <c r="E11" s="157" t="s">
        <v>55</v>
      </c>
      <c r="F11" s="157" t="str">
        <f>+VLOOKUP(A11,'Estado SCI'!$A$16:$I$59,9,0)</f>
        <v>Mantenimiento del control</v>
      </c>
      <c r="G11" s="157">
        <f>+VLOOKUP(A11,'Estado SCI'!$A$16:$L$59,12,0)</f>
        <v>20.123456789123399</v>
      </c>
      <c r="H11" s="157">
        <f t="shared" si="0"/>
        <v>10</v>
      </c>
      <c r="I11" s="157" t="str">
        <f>+IF(VLOOKUP(A11,'Estado SCI'!$A$16:$G$59,7,0)="","",VLOOKUP(A11,'Estado SCI'!$A$16:$G$59,7,0))</f>
        <v>Si</v>
      </c>
      <c r="J11" s="158">
        <f t="shared" si="2"/>
        <v>1</v>
      </c>
      <c r="K11" s="159">
        <f t="shared" si="1"/>
        <v>0.83333333333333337</v>
      </c>
    </row>
    <row r="12" spans="1:11" x14ac:dyDescent="0.25">
      <c r="A12" s="157" t="s">
        <v>153</v>
      </c>
      <c r="B12" s="157" t="s">
        <v>32</v>
      </c>
      <c r="C12" s="157" t="s">
        <v>33</v>
      </c>
      <c r="D12" s="157" t="s">
        <v>56</v>
      </c>
      <c r="E12" s="157" t="s">
        <v>57</v>
      </c>
      <c r="F12" s="157" t="str">
        <f>+VLOOKUP(A12,'Estado SCI'!$A$16:$I$59,9,0)</f>
        <v>Mantenimiento del control</v>
      </c>
      <c r="G12" s="157">
        <f>+VLOOKUP(A12,'Estado SCI'!$A$16:$L$59,12,0)</f>
        <v>20.123456789123448</v>
      </c>
      <c r="H12" s="157">
        <f t="shared" si="0"/>
        <v>11</v>
      </c>
      <c r="I12" s="157" t="str">
        <f>+IF(VLOOKUP(A12,'Estado SCI'!$A$16:$G$59,7,0)="","",VLOOKUP(A12,'Estado SCI'!$A$16:$G$59,7,0))</f>
        <v>Si</v>
      </c>
      <c r="J12" s="158">
        <f t="shared" si="2"/>
        <v>1</v>
      </c>
      <c r="K12" s="159">
        <f t="shared" si="1"/>
        <v>0.83333333333333337</v>
      </c>
    </row>
    <row r="13" spans="1:11" x14ac:dyDescent="0.25">
      <c r="A13" s="157" t="s">
        <v>154</v>
      </c>
      <c r="B13" s="157" t="s">
        <v>32</v>
      </c>
      <c r="C13" s="157" t="s">
        <v>33</v>
      </c>
      <c r="D13" s="157" t="s">
        <v>58</v>
      </c>
      <c r="E13" s="157" t="s">
        <v>59</v>
      </c>
      <c r="F13" s="157" t="str">
        <f>+VLOOKUP(A13,'Estado SCI'!$A$16:$I$59,9,0)</f>
        <v>Mantenimiento del control</v>
      </c>
      <c r="G13" s="157">
        <f>+VLOOKUP(A13,'Estado SCI'!$A$16:$L$59,12,0)</f>
        <v>20.123456789123455</v>
      </c>
      <c r="H13" s="157">
        <f t="shared" si="0"/>
        <v>12</v>
      </c>
      <c r="I13" s="157" t="str">
        <f>+IF(VLOOKUP(A13,'Estado SCI'!$A$16:$G$59,7,0)="","",VLOOKUP(A13,'Estado SCI'!$A$16:$G$59,7,0))</f>
        <v>Si</v>
      </c>
      <c r="J13" s="158">
        <f t="shared" si="2"/>
        <v>1</v>
      </c>
      <c r="K13" s="159">
        <f t="shared" si="1"/>
        <v>0.83333333333333337</v>
      </c>
    </row>
    <row r="14" spans="1:11" ht="15" customHeight="1" x14ac:dyDescent="0.25">
      <c r="A14" s="157" t="s">
        <v>155</v>
      </c>
      <c r="B14" s="157" t="str">
        <f>+VLOOKUP(A14,'Estado SCI'!$A$16:$C$59,3,0)</f>
        <v>EVALUACION DEL RIESGO</v>
      </c>
      <c r="C14" s="157" t="s">
        <v>62</v>
      </c>
      <c r="D14" s="157" t="s">
        <v>34</v>
      </c>
      <c r="E14" s="157" t="s">
        <v>156</v>
      </c>
      <c r="F14" s="157" t="str">
        <f>+VLOOKUP(A14,'Estado SCI'!$A$16:$I$59,9,0)</f>
        <v>Mantenimiento del control</v>
      </c>
      <c r="G14" s="157">
        <f>+VLOOKUP(A14,'Estado SCI'!$A$16:$L$59,12,0)</f>
        <v>40.229999999999997</v>
      </c>
      <c r="H14" s="157">
        <f t="shared" si="0"/>
        <v>17</v>
      </c>
      <c r="I14" s="157" t="str">
        <f>+IF(VLOOKUP(A14,'Estado SCI'!$A$16:$G$59,7,0)="","",VLOOKUP(A14,'Estado SCI'!$A$16:$G$59,7,0))</f>
        <v>Si</v>
      </c>
      <c r="J14" s="158">
        <f t="shared" si="2"/>
        <v>1</v>
      </c>
      <c r="K14" s="159">
        <f t="shared" si="1"/>
        <v>0.8</v>
      </c>
    </row>
    <row r="15" spans="1:11" ht="15" customHeight="1" x14ac:dyDescent="0.25">
      <c r="A15" s="157" t="s">
        <v>157</v>
      </c>
      <c r="B15" s="157" t="s">
        <v>61</v>
      </c>
      <c r="C15" s="157" t="s">
        <v>62</v>
      </c>
      <c r="D15" s="157" t="s">
        <v>37</v>
      </c>
      <c r="E15" s="157" t="s">
        <v>158</v>
      </c>
      <c r="F15" s="157" t="str">
        <f>+VLOOKUP(A15,'Estado SCI'!$A$16:$I$59,9,0)</f>
        <v>Mantenimiento del control</v>
      </c>
      <c r="G15" s="157">
        <f>+VLOOKUP(A15,'Estado SCI'!$A$16:$L$59,12,0)</f>
        <v>40.234000000000002</v>
      </c>
      <c r="H15" s="157">
        <f t="shared" si="0"/>
        <v>18</v>
      </c>
      <c r="I15" s="157" t="str">
        <f>+IF(VLOOKUP(A15,'Estado SCI'!$A$16:$G$59,7,0)="","",VLOOKUP(A15,'Estado SCI'!$A$16:$G$59,7,0))</f>
        <v>Si</v>
      </c>
      <c r="J15" s="158">
        <f t="shared" si="2"/>
        <v>1</v>
      </c>
      <c r="K15" s="159">
        <f t="shared" si="1"/>
        <v>0.8</v>
      </c>
    </row>
    <row r="16" spans="1:11" ht="15" customHeight="1" x14ac:dyDescent="0.25">
      <c r="A16" s="157" t="s">
        <v>159</v>
      </c>
      <c r="B16" s="157" t="s">
        <v>61</v>
      </c>
      <c r="C16" s="157" t="s">
        <v>62</v>
      </c>
      <c r="D16" s="157" t="s">
        <v>40</v>
      </c>
      <c r="E16" s="157" t="s">
        <v>160</v>
      </c>
      <c r="F16" s="157" t="str">
        <f>+VLOOKUP(A16,'Estado SCI'!$A$16:$I$59,9,0)</f>
        <v>Mantenimiento del control</v>
      </c>
      <c r="G16" s="157">
        <f>+VLOOKUP(A16,'Estado SCI'!$A$16:$L$59,12,0)</f>
        <v>40.234499999999997</v>
      </c>
      <c r="H16" s="157">
        <f t="shared" si="0"/>
        <v>19</v>
      </c>
      <c r="I16" s="157" t="str">
        <f>+IF(VLOOKUP(A16,'Estado SCI'!$A$16:$G$59,7,0)="","",VLOOKUP(A16,'Estado SCI'!$A$16:$G$59,7,0))</f>
        <v>Si</v>
      </c>
      <c r="J16" s="158">
        <f t="shared" si="2"/>
        <v>1</v>
      </c>
      <c r="K16" s="159">
        <f t="shared" si="1"/>
        <v>0.8</v>
      </c>
    </row>
    <row r="17" spans="1:11" ht="15.75" customHeight="1" x14ac:dyDescent="0.25">
      <c r="A17" s="157" t="s">
        <v>161</v>
      </c>
      <c r="B17" s="157" t="s">
        <v>61</v>
      </c>
      <c r="C17" s="157" t="s">
        <v>62</v>
      </c>
      <c r="D17" s="157" t="s">
        <v>42</v>
      </c>
      <c r="E17" s="157" t="s">
        <v>66</v>
      </c>
      <c r="F17" s="157" t="str">
        <f>+VLOOKUP(A17,'Estado SCI'!$A$16:$I$59,9,0)</f>
        <v>Mantenimiento del control</v>
      </c>
      <c r="G17" s="157">
        <f>+VLOOKUP(A17,'Estado SCI'!$A$16:$L$59,12,0)</f>
        <v>40.234560000000002</v>
      </c>
      <c r="H17" s="157">
        <f t="shared" si="0"/>
        <v>20</v>
      </c>
      <c r="I17" s="157" t="str">
        <f>+IF(VLOOKUP(A17,'Estado SCI'!$A$16:$G$59,7,0)="","",VLOOKUP(A17,'Estado SCI'!$A$16:$G$59,7,0))</f>
        <v>Si</v>
      </c>
      <c r="J17" s="158">
        <f t="shared" si="2"/>
        <v>1</v>
      </c>
      <c r="K17" s="159">
        <f t="shared" si="1"/>
        <v>0.8</v>
      </c>
    </row>
    <row r="18" spans="1:11" ht="15" customHeight="1" x14ac:dyDescent="0.25">
      <c r="A18" s="157" t="s">
        <v>162</v>
      </c>
      <c r="B18" s="157" t="s">
        <v>61</v>
      </c>
      <c r="C18" s="157" t="s">
        <v>80</v>
      </c>
      <c r="D18" s="157" t="s">
        <v>34</v>
      </c>
      <c r="E18" s="157" t="s">
        <v>69</v>
      </c>
      <c r="F18" s="157" t="str">
        <f>+VLOOKUP(A18,'Estado SCI'!$A$16:$I$59,9,0)</f>
        <v>Oportunidad de mejora</v>
      </c>
      <c r="G18" s="157">
        <f>+VLOOKUP(A18,'Estado SCI'!$A$16:$L$59,12,0)</f>
        <v>30.234566999999998</v>
      </c>
      <c r="H18" s="157">
        <f t="shared" si="0"/>
        <v>13</v>
      </c>
      <c r="I18" s="157" t="str">
        <f>+IF(VLOOKUP(A18,'Estado SCI'!$A$16:$G$59,7,0)="","",VLOOKUP(A18,'Estado SCI'!$A$16:$G$59,7,0))</f>
        <v>En proceso</v>
      </c>
      <c r="J18" s="158">
        <f t="shared" si="2"/>
        <v>0.5</v>
      </c>
      <c r="K18" s="159">
        <f t="shared" si="1"/>
        <v>0.8</v>
      </c>
    </row>
    <row r="19" spans="1:11" ht="15" customHeight="1" x14ac:dyDescent="0.25">
      <c r="A19" s="157" t="s">
        <v>163</v>
      </c>
      <c r="B19" s="157" t="s">
        <v>61</v>
      </c>
      <c r="C19" s="157" t="s">
        <v>80</v>
      </c>
      <c r="D19" s="157" t="s">
        <v>37</v>
      </c>
      <c r="E19" s="157" t="s">
        <v>70</v>
      </c>
      <c r="F19" s="157" t="str">
        <f>+VLOOKUP(A19,'Estado SCI'!$A$16:$I$59,9,0)</f>
        <v>Mantenimiento del control</v>
      </c>
      <c r="G19" s="157">
        <f>+VLOOKUP(A19,'Estado SCI'!$A$16:$L$59,12,0)</f>
        <v>40.234567800000001</v>
      </c>
      <c r="H19" s="157">
        <f t="shared" si="0"/>
        <v>21</v>
      </c>
      <c r="I19" s="157" t="str">
        <f>+IF(VLOOKUP(A19,'Estado SCI'!$A$16:$G$59,7,0)="","",VLOOKUP(A19,'Estado SCI'!$A$16:$G$59,7,0))</f>
        <v>Si</v>
      </c>
      <c r="J19" s="158">
        <f t="shared" si="2"/>
        <v>1</v>
      </c>
      <c r="K19" s="159">
        <f t="shared" si="1"/>
        <v>0.8</v>
      </c>
    </row>
    <row r="20" spans="1:11" ht="15" customHeight="1" x14ac:dyDescent="0.25">
      <c r="A20" s="157" t="s">
        <v>164</v>
      </c>
      <c r="B20" s="157" t="s">
        <v>61</v>
      </c>
      <c r="C20" s="157" t="s">
        <v>80</v>
      </c>
      <c r="D20" s="157" t="s">
        <v>40</v>
      </c>
      <c r="E20" s="157" t="s">
        <v>71</v>
      </c>
      <c r="F20" s="157" t="str">
        <f>+VLOOKUP(A20,'Estado SCI'!$A$16:$I$59,9,0)</f>
        <v>Oportunidad de mejora</v>
      </c>
      <c r="G20" s="157">
        <f>+VLOOKUP(A20,'Estado SCI'!$A$16:$L$59,12,0)</f>
        <v>30.234567890000001</v>
      </c>
      <c r="H20" s="157">
        <f t="shared" si="0"/>
        <v>14</v>
      </c>
      <c r="I20" s="157" t="str">
        <f>+IF(VLOOKUP(A20,'Estado SCI'!$A$16:$G$59,7,0)="","",VLOOKUP(A20,'Estado SCI'!$A$16:$G$59,7,0))</f>
        <v>En proceso</v>
      </c>
      <c r="J20" s="158">
        <f t="shared" si="2"/>
        <v>0.5</v>
      </c>
      <c r="K20" s="159">
        <f t="shared" si="1"/>
        <v>0.8</v>
      </c>
    </row>
    <row r="21" spans="1:11" ht="15.75" customHeight="1" x14ac:dyDescent="0.25">
      <c r="A21" s="157" t="s">
        <v>165</v>
      </c>
      <c r="B21" s="157" t="s">
        <v>61</v>
      </c>
      <c r="C21" s="157" t="s">
        <v>80</v>
      </c>
      <c r="D21" s="157" t="s">
        <v>34</v>
      </c>
      <c r="E21" s="157" t="s">
        <v>74</v>
      </c>
      <c r="F21" s="157" t="str">
        <f>+VLOOKUP(A21,'Estado SCI'!$A$16:$I$59,9,0)</f>
        <v>Mantenimiento del control</v>
      </c>
      <c r="G21" s="157">
        <f>+VLOOKUP(A21,'Estado SCI'!$A$16:$L$59,12,0)</f>
        <v>40.234567891200001</v>
      </c>
      <c r="H21" s="157">
        <f t="shared" si="0"/>
        <v>22</v>
      </c>
      <c r="I21" s="157" t="str">
        <f>+IF(VLOOKUP(A21,'Estado SCI'!$A$16:$G$59,7,0)="","",VLOOKUP(A21,'Estado SCI'!$A$16:$G$59,7,0))</f>
        <v>Si</v>
      </c>
      <c r="J21" s="158">
        <f t="shared" si="2"/>
        <v>1</v>
      </c>
      <c r="K21" s="159">
        <f t="shared" si="1"/>
        <v>0.8</v>
      </c>
    </row>
    <row r="22" spans="1:11" ht="15" customHeight="1" x14ac:dyDescent="0.25">
      <c r="A22" s="157" t="s">
        <v>166</v>
      </c>
      <c r="B22" s="157" t="s">
        <v>61</v>
      </c>
      <c r="C22" s="157" t="s">
        <v>88</v>
      </c>
      <c r="D22" s="157" t="s">
        <v>37</v>
      </c>
      <c r="E22" s="157" t="s">
        <v>75</v>
      </c>
      <c r="F22" s="157" t="str">
        <f>+VLOOKUP(A22,'Estado SCI'!$A$16:$I$59,9,0)</f>
        <v>Oportunidad de mejora</v>
      </c>
      <c r="G22" s="157">
        <f>+VLOOKUP(A22,'Estado SCI'!$A$16:$L$59,12,0)</f>
        <v>30.23456789123</v>
      </c>
      <c r="H22" s="157">
        <f t="shared" si="0"/>
        <v>15</v>
      </c>
      <c r="I22" s="157" t="str">
        <f>+IF(VLOOKUP(A22,'Estado SCI'!$A$16:$G$59,7,0)="","",VLOOKUP(A22,'Estado SCI'!$A$16:$G$59,7,0))</f>
        <v>En proceso</v>
      </c>
      <c r="J22" s="158">
        <f t="shared" si="2"/>
        <v>0.5</v>
      </c>
      <c r="K22" s="159">
        <f t="shared" si="1"/>
        <v>0.8</v>
      </c>
    </row>
    <row r="23" spans="1:11" ht="15" customHeight="1" x14ac:dyDescent="0.25">
      <c r="A23" s="157" t="s">
        <v>167</v>
      </c>
      <c r="B23" s="157" t="s">
        <v>61</v>
      </c>
      <c r="C23" s="157" t="s">
        <v>88</v>
      </c>
      <c r="D23" s="157" t="s">
        <v>40</v>
      </c>
      <c r="E23" s="157" t="s">
        <v>77</v>
      </c>
      <c r="F23" s="157" t="str">
        <f>+VLOOKUP(A23,'Estado SCI'!$A$16:$I$59,9,0)</f>
        <v>Oportunidad de mejora</v>
      </c>
      <c r="G23" s="157">
        <f>+VLOOKUP(A23,'Estado SCI'!$A$16:$L$59,12,0)</f>
        <v>30.234567891234001</v>
      </c>
      <c r="H23" s="157">
        <f t="shared" si="0"/>
        <v>16</v>
      </c>
      <c r="I23" s="157" t="str">
        <f>+IF(VLOOKUP(A23,'Estado SCI'!$A$16:$G$59,7,0)="","",VLOOKUP(A23,'Estado SCI'!$A$16:$G$59,7,0))</f>
        <v>En proceso</v>
      </c>
      <c r="J23" s="158">
        <f t="shared" si="2"/>
        <v>0.5</v>
      </c>
      <c r="K23" s="159">
        <f t="shared" si="1"/>
        <v>0.8</v>
      </c>
    </row>
    <row r="24" spans="1:11" ht="15" customHeight="1" x14ac:dyDescent="0.25">
      <c r="A24" s="157" t="s">
        <v>168</v>
      </c>
      <c r="B24" s="157" t="str">
        <f>+VLOOKUP(A24,'Estado SCI'!$A$16:$C$59,3,0)</f>
        <v>ACTIVIDADES DE CONTROL</v>
      </c>
      <c r="C24" s="157" t="s">
        <v>88</v>
      </c>
      <c r="D24" s="157" t="s">
        <v>34</v>
      </c>
      <c r="E24" s="157" t="s">
        <v>81</v>
      </c>
      <c r="F24" s="157" t="str">
        <f>+VLOOKUP(A24,'Estado SCI'!$A$16:$I$59,9,0)</f>
        <v>Oportunidad de mejora</v>
      </c>
      <c r="G24" s="157">
        <f>+VLOOKUP(A24,'Estado SCI'!$A$16:$L$59,12,0)</f>
        <v>50.31</v>
      </c>
      <c r="H24" s="157">
        <f t="shared" si="0"/>
        <v>23</v>
      </c>
      <c r="I24" s="157" t="str">
        <f>+IF(VLOOKUP(A24,'Estado SCI'!$A$16:$G$59,7,0)="","",VLOOKUP(A24,'Estado SCI'!$A$16:$G$59,7,0))</f>
        <v>En proceso</v>
      </c>
      <c r="J24" s="158">
        <f t="shared" si="2"/>
        <v>0.5</v>
      </c>
      <c r="K24" s="159">
        <f t="shared" si="1"/>
        <v>0.8</v>
      </c>
    </row>
    <row r="25" spans="1:11" ht="15" customHeight="1" x14ac:dyDescent="0.25">
      <c r="A25" s="157" t="s">
        <v>169</v>
      </c>
      <c r="B25" s="157" t="s">
        <v>79</v>
      </c>
      <c r="C25" s="157" t="s">
        <v>88</v>
      </c>
      <c r="D25" s="157" t="s">
        <v>37</v>
      </c>
      <c r="E25" s="157" t="s">
        <v>82</v>
      </c>
      <c r="F25" s="157" t="str">
        <f>+VLOOKUP(A25,'Estado SCI'!$A$16:$I$59,9,0)</f>
        <v>Oportunidad de mejora</v>
      </c>
      <c r="G25" s="157">
        <f>+VLOOKUP(A25,'Estado SCI'!$A$16:$L$59,12,0)</f>
        <v>50.323</v>
      </c>
      <c r="H25" s="157">
        <f t="shared" si="0"/>
        <v>24</v>
      </c>
      <c r="I25" s="157" t="str">
        <f>+IF(VLOOKUP(A25,'Estado SCI'!$A$16:$G$59,7,0)="","",VLOOKUP(A25,'Estado SCI'!$A$16:$G$59,7,0))</f>
        <v>En proceso</v>
      </c>
      <c r="J25" s="158">
        <f t="shared" si="2"/>
        <v>0.5</v>
      </c>
      <c r="K25" s="159">
        <f t="shared" si="1"/>
        <v>0.8</v>
      </c>
    </row>
    <row r="26" spans="1:11" ht="15" customHeight="1" x14ac:dyDescent="0.25">
      <c r="A26" s="157" t="s">
        <v>170</v>
      </c>
      <c r="B26" s="157" t="s">
        <v>79</v>
      </c>
      <c r="C26" s="157" t="s">
        <v>88</v>
      </c>
      <c r="D26" s="157" t="s">
        <v>40</v>
      </c>
      <c r="E26" s="157" t="s">
        <v>83</v>
      </c>
      <c r="F26" s="157" t="str">
        <f>+VLOOKUP(A26,'Estado SCI'!$A$16:$I$59,9,0)</f>
        <v>Mantenimiento del control</v>
      </c>
      <c r="G26" s="157">
        <f>+VLOOKUP(A26,'Estado SCI'!$A$16:$L$59,12,0)</f>
        <v>60.323999999999998</v>
      </c>
      <c r="H26" s="157">
        <f t="shared" si="0"/>
        <v>25</v>
      </c>
      <c r="I26" s="157" t="str">
        <f>+IF(VLOOKUP(A26,'Estado SCI'!$A$16:$G$59,7,0)="","",VLOOKUP(A26,'Estado SCI'!$A$16:$G$59,7,0))</f>
        <v>Si</v>
      </c>
      <c r="J26" s="158">
        <f t="shared" si="2"/>
        <v>1</v>
      </c>
      <c r="K26" s="159">
        <f t="shared" si="1"/>
        <v>0.8</v>
      </c>
    </row>
    <row r="27" spans="1:11" ht="15.75" customHeight="1" x14ac:dyDescent="0.25">
      <c r="A27" s="157" t="s">
        <v>171</v>
      </c>
      <c r="B27" s="157" t="s">
        <v>79</v>
      </c>
      <c r="C27" s="157" t="s">
        <v>88</v>
      </c>
      <c r="D27" s="157" t="s">
        <v>42</v>
      </c>
      <c r="E27" s="157" t="s">
        <v>84</v>
      </c>
      <c r="F27" s="157" t="str">
        <f>+VLOOKUP(A27,'Estado SCI'!$A$16:$I$59,9,0)</f>
        <v>Mantenimiento del control</v>
      </c>
      <c r="G27" s="157">
        <f>+VLOOKUP(A27,'Estado SCI'!$A$16:$L$59,12,0)</f>
        <v>60.325000000000003</v>
      </c>
      <c r="H27" s="157">
        <f t="shared" si="0"/>
        <v>26</v>
      </c>
      <c r="I27" s="157" t="str">
        <f>+IF(VLOOKUP(A27,'Estado SCI'!$A$16:$G$59,7,0)="","",VLOOKUP(A27,'Estado SCI'!$A$16:$G$59,7,0))</f>
        <v>Si</v>
      </c>
      <c r="J27" s="158">
        <f t="shared" si="2"/>
        <v>1</v>
      </c>
      <c r="K27" s="159">
        <f t="shared" si="1"/>
        <v>0.8</v>
      </c>
    </row>
    <row r="28" spans="1:11" ht="15" customHeight="1" x14ac:dyDescent="0.25">
      <c r="A28" s="157" t="s">
        <v>172</v>
      </c>
      <c r="B28" s="157" t="s">
        <v>79</v>
      </c>
      <c r="C28" s="157" t="s">
        <v>98</v>
      </c>
      <c r="D28" s="157" t="s">
        <v>44</v>
      </c>
      <c r="E28" s="157" t="s">
        <v>85</v>
      </c>
      <c r="F28" s="157" t="str">
        <f>+VLOOKUP(A28,'Estado SCI'!$A$16:$I$59,9,0)</f>
        <v>Mantenimiento del control</v>
      </c>
      <c r="G28" s="157">
        <f>+VLOOKUP(A28,'Estado SCI'!$A$16:$L$59,12,0)</f>
        <v>60.326000000000001</v>
      </c>
      <c r="H28" s="157">
        <f t="shared" si="0"/>
        <v>27</v>
      </c>
      <c r="I28" s="157" t="str">
        <f>+IF(VLOOKUP(A28,'Estado SCI'!$A$16:$G$59,7,0)="","",VLOOKUP(A28,'Estado SCI'!$A$16:$G$59,7,0))</f>
        <v>Si</v>
      </c>
      <c r="J28" s="158">
        <f t="shared" si="2"/>
        <v>1</v>
      </c>
      <c r="K28" s="159">
        <f t="shared" si="1"/>
        <v>0.8</v>
      </c>
    </row>
    <row r="29" spans="1:11" ht="15" customHeight="1" x14ac:dyDescent="0.25">
      <c r="A29" s="157" t="s">
        <v>173</v>
      </c>
      <c r="B29" s="157" t="str">
        <f>+VLOOKUP(A29,'Estado SCI'!$A$16:$C$59,3,0)</f>
        <v>INFORMACION Y COMUNICACIÓN</v>
      </c>
      <c r="C29" s="157" t="s">
        <v>98</v>
      </c>
      <c r="D29" s="157" t="s">
        <v>34</v>
      </c>
      <c r="E29" s="157" t="s">
        <v>89</v>
      </c>
      <c r="F29" s="157" t="str">
        <f>+VLOOKUP(A29,'Estado SCI'!$A$16:$I$59,9,0)</f>
        <v>Mantenimiento del control</v>
      </c>
      <c r="G29" s="157">
        <f>+VLOOKUP(A29,'Estado SCI'!$A$16:$L$59,12,0)</f>
        <v>80.412000000000006</v>
      </c>
      <c r="H29" s="157">
        <f t="shared" si="0"/>
        <v>29</v>
      </c>
      <c r="I29" s="157" t="str">
        <f>+IF(VLOOKUP(A29,'Estado SCI'!$A$16:$G$59,7,0)="","",VLOOKUP(A29,'Estado SCI'!$A$16:$G$59,7,0))</f>
        <v>Si</v>
      </c>
      <c r="J29" s="158">
        <f t="shared" si="2"/>
        <v>1</v>
      </c>
      <c r="K29" s="159">
        <f t="shared" si="1"/>
        <v>0.9285714285714286</v>
      </c>
    </row>
    <row r="30" spans="1:11" ht="15" customHeight="1" x14ac:dyDescent="0.25">
      <c r="A30" s="157" t="s">
        <v>174</v>
      </c>
      <c r="B30" s="157" t="s">
        <v>87</v>
      </c>
      <c r="C30" s="157" t="s">
        <v>98</v>
      </c>
      <c r="D30" s="157" t="s">
        <v>37</v>
      </c>
      <c r="E30" s="157" t="s">
        <v>90</v>
      </c>
      <c r="F30" s="157" t="str">
        <f>+VLOOKUP(A30,'Estado SCI'!$A$16:$I$59,9,0)</f>
        <v>Mantenimiento del control</v>
      </c>
      <c r="G30" s="157">
        <f>+VLOOKUP(A30,'Estado SCI'!$A$16:$L$59,12,0)</f>
        <v>80.412300000000002</v>
      </c>
      <c r="H30" s="157">
        <f t="shared" si="0"/>
        <v>30</v>
      </c>
      <c r="I30" s="157" t="str">
        <f>+IF(VLOOKUP(A30,'Estado SCI'!$A$16:$G$59,7,0)="","",VLOOKUP(A30,'Estado SCI'!$A$16:$G$59,7,0))</f>
        <v>Si</v>
      </c>
      <c r="J30" s="158">
        <f t="shared" si="2"/>
        <v>1</v>
      </c>
      <c r="K30" s="159">
        <f t="shared" si="1"/>
        <v>0.9285714285714286</v>
      </c>
    </row>
    <row r="31" spans="1:11" ht="15.75" customHeight="1" x14ac:dyDescent="0.25">
      <c r="A31" s="157" t="s">
        <v>175</v>
      </c>
      <c r="B31" s="157" t="s">
        <v>87</v>
      </c>
      <c r="C31" s="157" t="s">
        <v>98</v>
      </c>
      <c r="D31" s="157" t="s">
        <v>40</v>
      </c>
      <c r="E31" s="157" t="s">
        <v>91</v>
      </c>
      <c r="F31" s="157" t="str">
        <f>+VLOOKUP(A31,'Estado SCI'!$A$16:$I$59,9,0)</f>
        <v>Mantenimiento del control</v>
      </c>
      <c r="G31" s="157">
        <f>+VLOOKUP(A31,'Estado SCI'!$A$16:$L$59,12,0)</f>
        <v>80.41234</v>
      </c>
      <c r="H31" s="157">
        <f t="shared" si="0"/>
        <v>31</v>
      </c>
      <c r="I31" s="157" t="str">
        <f>+IF(VLOOKUP(A31,'Estado SCI'!$A$16:$G$59,7,0)="","",VLOOKUP(A31,'Estado SCI'!$A$16:$G$59,7,0))</f>
        <v>Si</v>
      </c>
      <c r="J31" s="158">
        <f t="shared" si="2"/>
        <v>1</v>
      </c>
      <c r="K31" s="159">
        <f t="shared" si="1"/>
        <v>0.9285714285714286</v>
      </c>
    </row>
    <row r="32" spans="1:11" x14ac:dyDescent="0.25">
      <c r="A32" s="157" t="s">
        <v>176</v>
      </c>
      <c r="B32" s="157" t="s">
        <v>87</v>
      </c>
      <c r="C32" s="157" t="s">
        <v>104</v>
      </c>
      <c r="D32" s="157" t="s">
        <v>42</v>
      </c>
      <c r="E32" s="157" t="s">
        <v>92</v>
      </c>
      <c r="F32" s="157" t="str">
        <f>+VLOOKUP(A32,'Estado SCI'!$A$16:$I$59,9,0)</f>
        <v>Mantenimiento del control</v>
      </c>
      <c r="G32" s="157">
        <f>+VLOOKUP(A32,'Estado SCI'!$A$16:$L$59,12,0)</f>
        <v>80.412345000000002</v>
      </c>
      <c r="H32" s="157">
        <f t="shared" si="0"/>
        <v>32</v>
      </c>
      <c r="I32" s="157" t="str">
        <f>+IF(VLOOKUP(A32,'Estado SCI'!$A$16:$G$59,7,0)="","",VLOOKUP(A32,'Estado SCI'!$A$16:$G$59,7,0))</f>
        <v>Si</v>
      </c>
      <c r="J32" s="158">
        <f t="shared" si="2"/>
        <v>1</v>
      </c>
      <c r="K32" s="159">
        <f t="shared" si="1"/>
        <v>0.9285714285714286</v>
      </c>
    </row>
    <row r="33" spans="1:11" x14ac:dyDescent="0.25">
      <c r="A33" s="157" t="s">
        <v>177</v>
      </c>
      <c r="B33" s="157" t="s">
        <v>87</v>
      </c>
      <c r="C33" s="157" t="s">
        <v>178</v>
      </c>
      <c r="D33" s="157" t="s">
        <v>44</v>
      </c>
      <c r="E33" s="157" t="s">
        <v>93</v>
      </c>
      <c r="F33" s="157" t="str">
        <f>+VLOOKUP(A33,'Estado SCI'!$A$16:$I$59,9,0)</f>
        <v>Mantenimiento del control</v>
      </c>
      <c r="G33" s="157">
        <f>+VLOOKUP(A33,'Estado SCI'!$A$16:$L$59,12,0)</f>
        <v>80.412345599999995</v>
      </c>
      <c r="H33" s="157">
        <f t="shared" si="0"/>
        <v>33</v>
      </c>
      <c r="I33" s="157" t="str">
        <f>+IF(VLOOKUP(A33,'Estado SCI'!$A$16:$G$59,7,0)="","",VLOOKUP(A33,'Estado SCI'!$A$16:$G$59,7,0))</f>
        <v>Si</v>
      </c>
      <c r="J33" s="158">
        <f t="shared" si="2"/>
        <v>1</v>
      </c>
      <c r="K33" s="159">
        <f t="shared" si="1"/>
        <v>0.9285714285714286</v>
      </c>
    </row>
    <row r="34" spans="1:11" x14ac:dyDescent="0.25">
      <c r="A34" s="157" t="s">
        <v>179</v>
      </c>
      <c r="B34" s="157" t="s">
        <v>87</v>
      </c>
      <c r="C34" s="157" t="s">
        <v>178</v>
      </c>
      <c r="D34" s="157" t="s">
        <v>46</v>
      </c>
      <c r="E34" s="157" t="s">
        <v>94</v>
      </c>
      <c r="F34" s="157" t="str">
        <f>+VLOOKUP(A34,'Estado SCI'!$A$16:$I$59,9,0)</f>
        <v>Oportunidad de mejora</v>
      </c>
      <c r="G34" s="157">
        <f>+VLOOKUP(A34,'Estado SCI'!$A$16:$L$59,12,0)</f>
        <v>70.412345669999993</v>
      </c>
      <c r="H34" s="157">
        <f t="shared" si="0"/>
        <v>28</v>
      </c>
      <c r="I34" s="157" t="str">
        <f>+IF(VLOOKUP(A34,'Estado SCI'!$A$16:$G$59,7,0)="","",VLOOKUP(A34,'Estado SCI'!$A$16:$G$59,7,0))</f>
        <v>En proceso</v>
      </c>
      <c r="J34" s="158">
        <f t="shared" si="2"/>
        <v>0.5</v>
      </c>
      <c r="K34" s="159">
        <f t="shared" si="1"/>
        <v>0.9285714285714286</v>
      </c>
    </row>
    <row r="35" spans="1:11" x14ac:dyDescent="0.25">
      <c r="A35" s="157" t="s">
        <v>180</v>
      </c>
      <c r="B35" s="157" t="s">
        <v>87</v>
      </c>
      <c r="C35" s="157" t="s">
        <v>178</v>
      </c>
      <c r="D35" s="157" t="s">
        <v>48</v>
      </c>
      <c r="E35" s="157" t="s">
        <v>95</v>
      </c>
      <c r="F35" s="157" t="str">
        <f>+VLOOKUP(A35,'Estado SCI'!$A$16:$I$59,9,0)</f>
        <v>Mantenimiento del control</v>
      </c>
      <c r="G35" s="157">
        <f>+VLOOKUP(A35,'Estado SCI'!$A$16:$L$59,12,0)</f>
        <v>80.412345677999994</v>
      </c>
      <c r="H35" s="157">
        <f t="shared" si="0"/>
        <v>34</v>
      </c>
      <c r="I35" s="157" t="str">
        <f>+IF(VLOOKUP(A35,'Estado SCI'!$A$16:$G$59,7,0)="","",VLOOKUP(A35,'Estado SCI'!$A$16:$G$59,7,0))</f>
        <v>Si</v>
      </c>
      <c r="J35" s="158">
        <f t="shared" si="2"/>
        <v>1</v>
      </c>
      <c r="K35" s="159">
        <f t="shared" si="1"/>
        <v>0.9285714285714286</v>
      </c>
    </row>
    <row r="36" spans="1:11" x14ac:dyDescent="0.25">
      <c r="A36" s="157" t="s">
        <v>181</v>
      </c>
      <c r="B36" s="157" t="str">
        <f>+VLOOKUP(A36,'Estado SCI'!$A$16:$C$59,3,0)</f>
        <v>ACTIVIDADES DE MONITOREO</v>
      </c>
      <c r="C36" s="157" t="s">
        <v>178</v>
      </c>
      <c r="D36" s="157" t="s">
        <v>34</v>
      </c>
      <c r="E36" s="157" t="s">
        <v>99</v>
      </c>
      <c r="F36" s="157" t="str">
        <f>+VLOOKUP(A36,'Estado SCI'!$A$16:$I$59,9,0)</f>
        <v>Mantenimiento del control</v>
      </c>
      <c r="G36" s="157">
        <f>+VLOOKUP(A36,'Estado SCI'!$A$16:$L$59,12,0)</f>
        <v>120.851</v>
      </c>
      <c r="H36" s="157">
        <f t="shared" si="0"/>
        <v>38</v>
      </c>
      <c r="I36" s="157" t="str">
        <f>+IF(VLOOKUP(A36,'Estado SCI'!$A$16:$G$59,7,0)="","",VLOOKUP(A36,'Estado SCI'!$A$16:$G$59,7,0))</f>
        <v>Si</v>
      </c>
      <c r="J36" s="158">
        <f t="shared" si="2"/>
        <v>1</v>
      </c>
      <c r="K36" s="159">
        <f t="shared" si="1"/>
        <v>0.8</v>
      </c>
    </row>
    <row r="37" spans="1:11" x14ac:dyDescent="0.25">
      <c r="A37" s="157" t="s">
        <v>182</v>
      </c>
      <c r="B37" s="157" t="s">
        <v>97</v>
      </c>
      <c r="C37" s="157" t="s">
        <v>178</v>
      </c>
      <c r="D37" s="157" t="s">
        <v>42</v>
      </c>
      <c r="E37" s="157" t="s">
        <v>100</v>
      </c>
      <c r="F37" s="157" t="str">
        <f>+VLOOKUP(A37,'Estado SCI'!$A$16:$I$59,9,0)</f>
        <v>Mantenimiento del control</v>
      </c>
      <c r="G37" s="157">
        <f>+VLOOKUP(A37,'Estado SCI'!$A$16:$L$59,12,0)</f>
        <v>120.85120000000001</v>
      </c>
      <c r="H37" s="157">
        <f t="shared" si="0"/>
        <v>39</v>
      </c>
      <c r="I37" s="157" t="str">
        <f>+IF(VLOOKUP(A37,'Estado SCI'!$A$16:$G$59,7,0)="","",VLOOKUP(A37,'Estado SCI'!$A$16:$G$59,7,0))</f>
        <v>Si</v>
      </c>
      <c r="J37" s="158">
        <f t="shared" si="2"/>
        <v>1</v>
      </c>
      <c r="K37" s="159">
        <f t="shared" si="1"/>
        <v>0.8</v>
      </c>
    </row>
    <row r="38" spans="1:11" x14ac:dyDescent="0.25">
      <c r="A38" s="157" t="s">
        <v>183</v>
      </c>
      <c r="B38" s="157" t="s">
        <v>97</v>
      </c>
      <c r="C38" s="157" t="s">
        <v>68</v>
      </c>
      <c r="D38" s="157" t="s">
        <v>46</v>
      </c>
      <c r="E38" s="157" t="s">
        <v>101</v>
      </c>
      <c r="F38" s="157" t="str">
        <f>+VLOOKUP(A38,'Estado SCI'!$A$16:$I$59,9,0)</f>
        <v>Mantenimiento del control</v>
      </c>
      <c r="G38" s="157">
        <f>+VLOOKUP(A38,'Estado SCI'!$A$16:$L$59,12,0)</f>
        <v>120.85123</v>
      </c>
      <c r="H38" s="157">
        <f t="shared" si="0"/>
        <v>40</v>
      </c>
      <c r="I38" s="157" t="str">
        <f>+IF(VLOOKUP(A38,'Estado SCI'!$A$16:$G$59,7,0)="","",VLOOKUP(A38,'Estado SCI'!$A$16:$G$59,7,0))</f>
        <v>Si</v>
      </c>
      <c r="J38" s="158">
        <f t="shared" si="2"/>
        <v>1</v>
      </c>
      <c r="K38" s="159">
        <f t="shared" si="1"/>
        <v>0.8</v>
      </c>
    </row>
    <row r="39" spans="1:11" x14ac:dyDescent="0.25">
      <c r="A39" s="157" t="s">
        <v>184</v>
      </c>
      <c r="B39" s="157" t="s">
        <v>97</v>
      </c>
      <c r="C39" s="157" t="s">
        <v>68</v>
      </c>
      <c r="D39" s="157" t="s">
        <v>48</v>
      </c>
      <c r="E39" s="157" t="s">
        <v>102</v>
      </c>
      <c r="F39" s="157" t="str">
        <f>+VLOOKUP(A39,'Estado SCI'!$A$16:$I$59,9,0)</f>
        <v>Mantenimiento del control</v>
      </c>
      <c r="G39" s="157">
        <f>+VLOOKUP(A39,'Estado SCI'!$A$16:$L$59,12,0)</f>
        <v>120.85123400000001</v>
      </c>
      <c r="H39" s="157">
        <f t="shared" si="0"/>
        <v>41</v>
      </c>
      <c r="I39" s="157" t="str">
        <f>+IF(VLOOKUP(A39,'Estado SCI'!$A$16:$G$59,7,0)="","",VLOOKUP(A39,'Estado SCI'!$A$16:$G$59,7,0))</f>
        <v>Si</v>
      </c>
      <c r="J39" s="158">
        <f t="shared" si="2"/>
        <v>1</v>
      </c>
      <c r="K39" s="159">
        <f t="shared" si="1"/>
        <v>0.8</v>
      </c>
    </row>
    <row r="40" spans="1:11" x14ac:dyDescent="0.25">
      <c r="A40" s="157" t="s">
        <v>185</v>
      </c>
      <c r="B40" s="157" t="s">
        <v>97</v>
      </c>
      <c r="C40" s="157" t="s">
        <v>68</v>
      </c>
      <c r="D40" s="157" t="s">
        <v>50</v>
      </c>
      <c r="E40" s="157" t="s">
        <v>105</v>
      </c>
      <c r="F40" s="157" t="str">
        <f>+VLOOKUP(A40,'Estado SCI'!$A$16:$I$59,9,0)</f>
        <v>Deficiencia de control</v>
      </c>
      <c r="G40" s="157">
        <f>+VLOOKUP(A40,'Estado SCI'!$A$16:$L$59,12,0)</f>
        <v>80.851234500000004</v>
      </c>
      <c r="H40" s="157">
        <f t="shared" si="0"/>
        <v>35</v>
      </c>
      <c r="I40" s="157" t="str">
        <f>+IF(VLOOKUP(A40,'Estado SCI'!$A$16:$G$59,7,0)="","",VLOOKUP(A40,'Estado SCI'!$A$16:$G$59,7,0))</f>
        <v>No</v>
      </c>
      <c r="J40" s="158">
        <f t="shared" si="2"/>
        <v>0</v>
      </c>
      <c r="K40" s="159">
        <f t="shared" si="1"/>
        <v>0.8</v>
      </c>
    </row>
    <row r="41" spans="1:11" x14ac:dyDescent="0.25">
      <c r="A41" s="157" t="s">
        <v>186</v>
      </c>
      <c r="B41" s="157" t="s">
        <v>97</v>
      </c>
      <c r="C41" s="157" t="s">
        <v>68</v>
      </c>
      <c r="D41" s="157" t="s">
        <v>34</v>
      </c>
      <c r="E41" s="157" t="s">
        <v>108</v>
      </c>
      <c r="F41" s="157" t="str">
        <f>+VLOOKUP(A41,'Estado SCI'!$A$16:$I$59,9,0)</f>
        <v>Mantenimiento del control</v>
      </c>
      <c r="G41" s="157">
        <f>+VLOOKUP(A41,'Estado SCI'!$A$16:$L$59,12,0)</f>
        <v>120.85123455999999</v>
      </c>
      <c r="H41" s="157">
        <f t="shared" si="0"/>
        <v>42</v>
      </c>
      <c r="I41" s="157" t="str">
        <f>+IF(VLOOKUP(A41,'Estado SCI'!$A$16:$G$59,7,0)="","",VLOOKUP(A41,'Estado SCI'!$A$16:$G$59,7,0))</f>
        <v>Si</v>
      </c>
      <c r="J41" s="158">
        <f t="shared" si="2"/>
        <v>1</v>
      </c>
      <c r="K41" s="159">
        <f t="shared" si="1"/>
        <v>0.8</v>
      </c>
    </row>
    <row r="42" spans="1:11" x14ac:dyDescent="0.25">
      <c r="A42" s="157" t="s">
        <v>187</v>
      </c>
      <c r="B42" s="157" t="s">
        <v>97</v>
      </c>
      <c r="C42" s="157" t="s">
        <v>73</v>
      </c>
      <c r="D42" s="157" t="s">
        <v>37</v>
      </c>
      <c r="E42" s="157" t="s">
        <v>109</v>
      </c>
      <c r="F42" s="157" t="str">
        <f>+VLOOKUP(A42,'Estado SCI'!$A$16:$I$59,9,0)</f>
        <v>Oportunidad de mejora</v>
      </c>
      <c r="G42" s="157">
        <f>+VLOOKUP(A42,'Estado SCI'!$A$16:$L$59,12,0)</f>
        <v>100.85123456700001</v>
      </c>
      <c r="H42" s="157">
        <f t="shared" si="0"/>
        <v>36</v>
      </c>
      <c r="I42" s="157" t="str">
        <f>+IF(VLOOKUP(A42,'Estado SCI'!$A$16:$G$59,7,0)="","",VLOOKUP(A42,'Estado SCI'!$A$16:$G$59,7,0))</f>
        <v>En proceso</v>
      </c>
      <c r="J42" s="158">
        <f t="shared" si="2"/>
        <v>0.5</v>
      </c>
      <c r="K42" s="159">
        <f t="shared" si="1"/>
        <v>0.8</v>
      </c>
    </row>
    <row r="43" spans="1:11" x14ac:dyDescent="0.25">
      <c r="A43" s="157" t="s">
        <v>188</v>
      </c>
      <c r="B43" s="157" t="s">
        <v>97</v>
      </c>
      <c r="C43" s="157" t="s">
        <v>73</v>
      </c>
      <c r="D43" s="157" t="s">
        <v>40</v>
      </c>
      <c r="E43" s="157" t="s">
        <v>110</v>
      </c>
      <c r="F43" s="157" t="str">
        <f>+VLOOKUP(A43,'Estado SCI'!$A$16:$I$59,9,0)</f>
        <v>Oportunidad de mejora</v>
      </c>
      <c r="G43" s="157">
        <f>+VLOOKUP(A43,'Estado SCI'!$A$16:$L$59,12,0)</f>
        <v>100.85123456780001</v>
      </c>
      <c r="H43" s="157">
        <f t="shared" si="0"/>
        <v>37</v>
      </c>
      <c r="I43" s="157" t="str">
        <f>+IF(VLOOKUP(A43,'Estado SCI'!$A$16:$G$59,7,0)="","",VLOOKUP(A43,'Estado SCI'!$A$16:$G$59,7,0))</f>
        <v>En proceso</v>
      </c>
      <c r="J43" s="158">
        <f t="shared" si="2"/>
        <v>0.5</v>
      </c>
      <c r="K43" s="159">
        <f t="shared" si="1"/>
        <v>0.8</v>
      </c>
    </row>
    <row r="44" spans="1:11" x14ac:dyDescent="0.25">
      <c r="A44" s="157" t="s">
        <v>189</v>
      </c>
      <c r="B44" s="157" t="s">
        <v>97</v>
      </c>
      <c r="C44" s="157" t="s">
        <v>73</v>
      </c>
      <c r="D44" s="157" t="s">
        <v>42</v>
      </c>
      <c r="E44" s="157" t="s">
        <v>111</v>
      </c>
      <c r="F44" s="157" t="str">
        <f>+VLOOKUP(A44,'Estado SCI'!$A$16:$I$59,9,0)</f>
        <v>Mantenimiento del control</v>
      </c>
      <c r="G44" s="157">
        <f>+VLOOKUP(A44,'Estado SCI'!$A$16:$L$59,12,0)</f>
        <v>120.85123456789</v>
      </c>
      <c r="H44" s="157">
        <f t="shared" si="0"/>
        <v>43</v>
      </c>
      <c r="I44" s="157" t="str">
        <f>+IF(VLOOKUP(A44,'Estado SCI'!$A$16:$G$59,7,0)="","",VLOOKUP(A44,'Estado SCI'!$A$16:$G$59,7,0))</f>
        <v>Si</v>
      </c>
      <c r="J44" s="158">
        <f t="shared" si="2"/>
        <v>1</v>
      </c>
      <c r="K44" s="159">
        <f t="shared" si="1"/>
        <v>0.8</v>
      </c>
    </row>
    <row r="45" spans="1:11" x14ac:dyDescent="0.25">
      <c r="A45" s="157" t="s">
        <v>190</v>
      </c>
      <c r="B45" s="157" t="s">
        <v>97</v>
      </c>
      <c r="C45" s="157" t="s">
        <v>73</v>
      </c>
      <c r="D45" s="157" t="s">
        <v>44</v>
      </c>
      <c r="E45" s="157" t="s">
        <v>112</v>
      </c>
      <c r="F45" s="157" t="str">
        <f>+VLOOKUP(A45,'Estado SCI'!$A$16:$I$59,9,0)</f>
        <v>Mantenimiento del control</v>
      </c>
      <c r="G45" s="157">
        <f>+VLOOKUP(A45,'Estado SCI'!$A$16:$L$59,12,0)</f>
        <v>120.851234567891</v>
      </c>
      <c r="H45" s="157">
        <f t="shared" si="0"/>
        <v>44</v>
      </c>
      <c r="I45" s="157" t="str">
        <f>+IF(VLOOKUP(A45,'Estado SCI'!$A$16:$G$59,7,0)="","",VLOOKUP(A45,'Estado SCI'!$A$16:$G$59,7,0))</f>
        <v>Si</v>
      </c>
      <c r="J45" s="158">
        <f t="shared" si="2"/>
        <v>1</v>
      </c>
      <c r="K45" s="159">
        <f t="shared" si="1"/>
        <v>0.8</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OMAR</cp:lastModifiedBy>
  <cp:revision/>
  <dcterms:created xsi:type="dcterms:W3CDTF">2020-04-28T13:58:09Z</dcterms:created>
  <dcterms:modified xsi:type="dcterms:W3CDTF">2022-07-11T16:08:09Z</dcterms:modified>
  <cp:category/>
  <cp:contentStatus/>
</cp:coreProperties>
</file>